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d.docs.live.net/ea44356f34fff401/Outros/Área de Trabalho/"/>
    </mc:Choice>
  </mc:AlternateContent>
  <xr:revisionPtr revIDLastSave="1" documentId="8_{BA516CB9-AC5C-4D3C-B6D3-72DE0226BDCB}" xr6:coauthVersionLast="46" xr6:coauthVersionMax="46" xr10:uidLastSave="{352B5084-D6BF-4CFA-9AE5-27826BF9D582}"/>
  <workbookProtection workbookAlgorithmName="SHA-512" workbookHashValue="IbazlPL/eVDDrUZXNIcpcCxzsvf8K3AetWh7xVvVFh+pGLWk1m45cJfNiSY/GEWeiyPHDuupS/pC1e70QxY/cQ==" workbookSaltValue="aCRmGLsFYXSiO221lwjGaw==" workbookSpinCount="100000" lockStructure="1"/>
  <bookViews>
    <workbookView xWindow="1560" yWindow="-120" windowWidth="36960" windowHeight="16440" activeTab="1" xr2:uid="{BBBAC3A6-3AE4-47A1-AC80-B57DFE986781}"/>
  </bookViews>
  <sheets>
    <sheet name="Sumário" sheetId="2" r:id="rId1"/>
    <sheet name="Transações Tributárias" sheetId="1" r:id="rId2"/>
    <sheet name="CNAEs" sheetId="6" r:id="rId3"/>
    <sheet name="Garantias" sheetId="4" r:id="rId4"/>
  </sheets>
  <externalReferences>
    <externalReference r:id="rId5"/>
  </externalReferences>
  <definedNames>
    <definedName name="_xlnm._FilterDatabase" localSheetId="1" hidden="1">'Transações Tributárias'!$B$1:$S$31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0" i="2" l="1"/>
  <c r="B79" i="2"/>
  <c r="B76" i="2"/>
  <c r="B75" i="2"/>
  <c r="B72" i="2"/>
  <c r="B71" i="2"/>
  <c r="B70" i="2"/>
  <c r="B69" i="2"/>
  <c r="B73" i="2" s="1"/>
  <c r="B65" i="2"/>
  <c r="C54" i="2"/>
  <c r="D54" i="2" s="1"/>
  <c r="C57" i="2"/>
  <c r="D57" i="2" s="1"/>
  <c r="C56" i="2"/>
  <c r="D56" i="2" s="1"/>
  <c r="C55" i="2"/>
  <c r="D55" i="2" s="1"/>
  <c r="C53" i="2"/>
  <c r="D53" i="2" s="1"/>
  <c r="C52" i="2"/>
  <c r="D52" i="2" s="1"/>
  <c r="C51" i="2"/>
  <c r="D51" i="2" s="1"/>
  <c r="C50" i="2"/>
  <c r="D50" i="2" s="1"/>
  <c r="C49" i="2"/>
  <c r="D49" i="2" s="1"/>
  <c r="C48" i="2"/>
  <c r="D48" i="2" s="1"/>
  <c r="C47" i="2"/>
  <c r="D47" i="2" s="1"/>
  <c r="C46" i="2"/>
  <c r="D46" i="2" s="1"/>
  <c r="C45" i="2"/>
  <c r="D45" i="2" s="1"/>
  <c r="C44" i="2"/>
  <c r="D44" i="2" s="1"/>
  <c r="C43" i="2"/>
  <c r="D43" i="2" s="1"/>
  <c r="C42" i="2"/>
  <c r="D42" i="2" s="1"/>
  <c r="C41" i="2"/>
  <c r="D41" i="2" s="1"/>
  <c r="C40" i="2"/>
  <c r="D40" i="2" s="1"/>
  <c r="C39" i="2"/>
  <c r="D39" i="2" s="1"/>
  <c r="C38" i="2"/>
  <c r="D38" i="2" s="1"/>
  <c r="C37" i="2"/>
  <c r="D37" i="2" s="1"/>
  <c r="C36" i="2"/>
  <c r="D36" i="2" s="1"/>
  <c r="C35" i="2"/>
  <c r="D35" i="2" s="1"/>
  <c r="C34" i="2"/>
  <c r="D34" i="2" s="1"/>
  <c r="C33" i="2"/>
  <c r="D33" i="2" s="1"/>
  <c r="B8" i="2"/>
  <c r="B22" i="2"/>
  <c r="Y29" i="1"/>
  <c r="X29" i="1"/>
  <c r="E29" i="1"/>
  <c r="Q21" i="1"/>
  <c r="L21" i="1"/>
  <c r="R23" i="1"/>
  <c r="Q23" i="1"/>
  <c r="L23" i="1"/>
  <c r="Q24" i="1"/>
  <c r="L3" i="1"/>
  <c r="D5" i="2"/>
  <c r="B6" i="2"/>
  <c r="B25" i="2"/>
  <c r="D58" i="2" l="1"/>
  <c r="C58" i="2"/>
  <c r="B103" i="2"/>
  <c r="C103" i="2" s="1"/>
  <c r="B102" i="2"/>
  <c r="C102" i="2" s="1"/>
  <c r="B100" i="2"/>
  <c r="C100" i="2" s="1"/>
  <c r="B99" i="2"/>
  <c r="C99" i="2" s="1"/>
  <c r="B98" i="2"/>
  <c r="C98" i="2" s="1"/>
  <c r="B97" i="2"/>
  <c r="C97" i="2" s="1"/>
  <c r="B96" i="2"/>
  <c r="C96" i="2" s="1"/>
  <c r="B95" i="2"/>
  <c r="C95" i="2" s="1"/>
  <c r="B94" i="2"/>
  <c r="C94" i="2" s="1"/>
  <c r="B93" i="2"/>
  <c r="C93" i="2" s="1"/>
  <c r="B92" i="2"/>
  <c r="B101" i="2"/>
  <c r="C101" i="2" s="1"/>
  <c r="B82" i="2"/>
  <c r="B29" i="2"/>
  <c r="B13" i="2"/>
  <c r="B12" i="2"/>
  <c r="B11" i="2"/>
  <c r="B10" i="2"/>
  <c r="B9" i="2"/>
  <c r="B88" i="2"/>
  <c r="B87" i="2"/>
  <c r="B86" i="2"/>
  <c r="B28" i="2"/>
  <c r="B30" i="2" s="1"/>
  <c r="B18" i="2"/>
  <c r="B19" i="2"/>
  <c r="B17" i="2"/>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E30" i="1" s="1"/>
  <c r="S23" i="1"/>
  <c r="L22" i="1"/>
  <c r="R22" i="1" s="1"/>
  <c r="R21" i="1"/>
  <c r="Q19" i="1"/>
  <c r="Y30" i="1" l="1"/>
  <c r="X30" i="1"/>
  <c r="S21" i="1"/>
  <c r="B81" i="2"/>
  <c r="C5" i="2"/>
  <c r="C4" i="2"/>
  <c r="B20" i="2"/>
  <c r="B89" i="2"/>
  <c r="B16" i="2"/>
  <c r="B85" i="2"/>
  <c r="C88" i="2" s="1"/>
  <c r="C92" i="2"/>
  <c r="C104" i="2" s="1"/>
  <c r="B104" i="2"/>
  <c r="B14" i="2"/>
  <c r="C12" i="2"/>
  <c r="C11" i="2"/>
  <c r="C13" i="2"/>
  <c r="C9" i="2"/>
  <c r="C10" i="2"/>
  <c r="C24" i="2"/>
  <c r="C23" i="2"/>
  <c r="Q22" i="1"/>
  <c r="C6" i="2" l="1"/>
  <c r="C25" i="2"/>
  <c r="C87" i="2"/>
  <c r="C18" i="2"/>
  <c r="C86" i="2"/>
  <c r="C19" i="2"/>
  <c r="C17" i="2"/>
  <c r="B27" i="2"/>
  <c r="C29" i="2" s="1"/>
  <c r="C14" i="2"/>
  <c r="U17" i="1"/>
  <c r="Q17" i="1"/>
  <c r="W16" i="1"/>
  <c r="L16" i="1"/>
  <c r="V15" i="1"/>
  <c r="V14" i="1"/>
  <c r="W14" i="1" s="1"/>
  <c r="U14" i="1"/>
  <c r="V13" i="1"/>
  <c r="W13" i="1" s="1"/>
  <c r="U12" i="1"/>
  <c r="Q12" i="1"/>
  <c r="U13" i="1" l="1"/>
  <c r="C89" i="2"/>
  <c r="C20" i="2"/>
  <c r="C28" i="2"/>
  <c r="C30" i="2" s="1"/>
  <c r="W9" i="1"/>
  <c r="V9" i="1"/>
  <c r="U9" i="1"/>
  <c r="T9" i="1"/>
  <c r="W8" i="1"/>
  <c r="V8" i="1"/>
  <c r="U8" i="1"/>
  <c r="T8" i="1"/>
  <c r="W7" i="1"/>
  <c r="V7" i="1"/>
  <c r="U7" i="1"/>
  <c r="T7" i="1"/>
  <c r="W6" i="1"/>
  <c r="V6" i="1"/>
  <c r="U6" i="1"/>
  <c r="T6" i="1"/>
  <c r="W5" i="1"/>
  <c r="V5" i="1"/>
  <c r="U5" i="1"/>
  <c r="T5" i="1"/>
  <c r="W4" i="1"/>
  <c r="V4" i="1"/>
  <c r="U4" i="1"/>
  <c r="T4" i="1"/>
  <c r="W3" i="1"/>
  <c r="W29" i="1" s="1"/>
  <c r="W30" i="1" s="1"/>
  <c r="V3" i="1"/>
  <c r="V29" i="1" s="1"/>
  <c r="V30" i="1" s="1"/>
  <c r="U3" i="1"/>
  <c r="U29" i="1" s="1"/>
  <c r="U30" i="1" s="1"/>
  <c r="T3" i="1"/>
  <c r="T29" i="1" s="1"/>
  <c r="T30" i="1" s="1"/>
  <c r="Q8" i="1" l="1"/>
  <c r="L8" i="1"/>
  <c r="Q6" i="1"/>
  <c r="P6" i="1"/>
  <c r="P29" i="1" s="1"/>
  <c r="P30" i="1" s="1"/>
  <c r="O6" i="1"/>
  <c r="O29" i="1" s="1"/>
  <c r="O30" i="1" s="1"/>
  <c r="N6" i="1"/>
  <c r="N29" i="1" s="1"/>
  <c r="N30" i="1" s="1"/>
  <c r="M6" i="1"/>
  <c r="M29" i="1" s="1"/>
  <c r="M30" i="1" s="1"/>
  <c r="L6" i="1"/>
  <c r="L5" i="1"/>
  <c r="S5" i="1" s="1"/>
  <c r="C73" i="2" l="1"/>
  <c r="R8" i="1"/>
  <c r="R6" i="1"/>
  <c r="S6" i="1" s="1"/>
  <c r="Q4" i="1"/>
  <c r="R4" i="1"/>
  <c r="C70" i="2" l="1"/>
  <c r="C71" i="2"/>
  <c r="C69" i="2"/>
  <c r="C72" i="2"/>
  <c r="L4" i="1"/>
  <c r="Q3" i="1" l="1"/>
  <c r="R3" i="1"/>
  <c r="S3" i="1" s="1"/>
  <c r="Q2" i="1"/>
  <c r="Q29" i="1" s="1"/>
  <c r="Q30" i="1" s="1"/>
  <c r="R2" i="1" l="1"/>
  <c r="R29" i="1" s="1"/>
  <c r="R30" i="1" s="1"/>
  <c r="L2" i="1"/>
  <c r="L29" i="1" s="1"/>
  <c r="L30" i="1" s="1"/>
  <c r="S4" i="1"/>
  <c r="C65" i="2" l="1"/>
  <c r="C62" i="2" l="1"/>
  <c r="C63" i="2"/>
  <c r="C64" i="2"/>
  <c r="C6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tc={CF5C0217-F2DA-496A-A021-3EAA6A36A2F2}</author>
  </authors>
  <commentList>
    <comment ref="Y27" authorId="0" shapeId="0" xr:uid="{CF5C0217-F2DA-496A-A021-3EAA6A36A2F2}">
      <text>
        <t>[Comentário encadeado]
Sua versão do Excel permite que você leia este comentário encadeado, no entanto, as edições serão removidas se o arquivo for aberto em uma versão mais recente do Excel. Saiba mais: https://go.microsoft.com/fwlink/?linkid=870924
Comentário:
    Parte em 84 parcelas e parte em 145.</t>
      </text>
    </comment>
  </commentList>
</comments>
</file>

<file path=xl/sharedStrings.xml><?xml version="1.0" encoding="utf-8"?>
<sst xmlns="http://schemas.openxmlformats.org/spreadsheetml/2006/main" count="810" uniqueCount="274">
  <si>
    <t>GARANTIAS APRESENTADAS</t>
  </si>
  <si>
    <t>OBSERVAÇÕES</t>
  </si>
  <si>
    <t>DATA</t>
  </si>
  <si>
    <t>REGIÃO</t>
  </si>
  <si>
    <t xml:space="preserve">SUJEITO PASSIVO
</t>
  </si>
  <si>
    <t>TRIBUTOS TRANSACIONADOS</t>
  </si>
  <si>
    <t>Link</t>
  </si>
  <si>
    <t>3ª</t>
  </si>
  <si>
    <t>Royal FIC Distribuidora de Derivados de Petróleo S.A</t>
  </si>
  <si>
    <t>PJ</t>
  </si>
  <si>
    <t>TIPO DE TRANSAÇÃO</t>
  </si>
  <si>
    <t xml:space="preserve">Transação Individual </t>
  </si>
  <si>
    <t>Imóveis
Equipamentos
Apólice de seguro-garantia</t>
  </si>
  <si>
    <t xml:space="preserve">SUSPENDE A EXIGIBILIDADE </t>
  </si>
  <si>
    <t>SIM</t>
  </si>
  <si>
    <t>ESTADO</t>
  </si>
  <si>
    <t>SP</t>
  </si>
  <si>
    <t>N/A</t>
  </si>
  <si>
    <t>Débitos não previdenciários</t>
  </si>
  <si>
    <t>Ente Público</t>
  </si>
  <si>
    <t xml:space="preserve">PF / PJ </t>
  </si>
  <si>
    <t>Não Informado</t>
  </si>
  <si>
    <t>%</t>
  </si>
  <si>
    <t>Tatiana Fidelis de Lima Santos
Marco Exposito Guevara
Weider Tavares Pereira
Catheriny Baccaro Nonato</t>
  </si>
  <si>
    <t>PROCURADOR</t>
  </si>
  <si>
    <t xml:space="preserve">Número de Transações </t>
  </si>
  <si>
    <t>1ª Região</t>
  </si>
  <si>
    <t>2ª Região</t>
  </si>
  <si>
    <t>3ª Região</t>
  </si>
  <si>
    <t>4ª Região</t>
  </si>
  <si>
    <t>5ª Região</t>
  </si>
  <si>
    <t>Pessoa Física</t>
  </si>
  <si>
    <t>Pessoa Jurídica</t>
  </si>
  <si>
    <t>Descontos Aplicados</t>
  </si>
  <si>
    <t>Saldo a ser pago</t>
  </si>
  <si>
    <t xml:space="preserve">Imóveis </t>
  </si>
  <si>
    <t xml:space="preserve">Equipamentos </t>
  </si>
  <si>
    <t>Apólice de Seguro-garantia</t>
  </si>
  <si>
    <t>Sustentare Saneamento S.A
Modernna Ambiental S.A
Qualix Serviços Ambientais S.A</t>
  </si>
  <si>
    <t>Débitos previdenciários e não previdenciários</t>
  </si>
  <si>
    <t>Recebíveis de contrato com ente público
Imóvel</t>
  </si>
  <si>
    <t>Debora Martins de Oliveira
Mariana Corrêa de Andrade Pinho
Mariana Fagundes Lellis Vieira (3ª Reg.)
Theo Lucas Borges de Lima Dias (1ª Reg.)
Weider Tavares Pereira (3ª Reg.)
Rafael Sibemberg Nedir (4ª Reg.)
Alexandre de Andrade Freire (5ª Reg.)</t>
  </si>
  <si>
    <t>2ª</t>
  </si>
  <si>
    <t>RJ</t>
  </si>
  <si>
    <t>Unimed Petrópolis Cooperativa de Trabalho Médico</t>
  </si>
  <si>
    <t>A requerente havia firmado Negócio Jurídico Processual com a PGFN e ofertado bens naquela oportunidade. Os mesmos bens do NJP foram utilizados como garantia da Transação, não havendo especificação na Transação.</t>
  </si>
  <si>
    <t>Juliana Pita Guimarães Domingues 
Rafael Garcia Veraldo</t>
  </si>
  <si>
    <t>PIS/COFINS
IRPJ/CSLL
IRRF</t>
  </si>
  <si>
    <t>Norte Buss Transportes S.A</t>
  </si>
  <si>
    <t>Recebíveis de contrato com ente público
1.182 veículos fabricados após 2014
Imóveis
Atuais e futuros depósitos judiciais e precatórios em nome do devedor</t>
  </si>
  <si>
    <t>Weider Tavares Pereira
Catheriny Baccaro Nonato
João Henrique Chauffaille Grognet</t>
  </si>
  <si>
    <t>Sem Garantia</t>
  </si>
  <si>
    <t>Veículos</t>
  </si>
  <si>
    <t>PF</t>
  </si>
  <si>
    <t>Pessoa Física + Pessoa Jurídica</t>
  </si>
  <si>
    <t>Tipos de Garantias Apresentadas</t>
  </si>
  <si>
    <t>B</t>
  </si>
  <si>
    <t>RECUPERAÇÃO JUDICIAL / FALÊNCIA</t>
  </si>
  <si>
    <t>NÃO</t>
  </si>
  <si>
    <t>Não Informado
(Anexo não disponível)</t>
  </si>
  <si>
    <t>Há justificativa genérica sobre a capacidade de pagamento e grau de recuperabilidade do crédito.
Eventuais precatórios que o contribuinte venha a dispor, bem como levantamento de depósito judicial perante a União ou outros entes federados, poderão ser direcionados para o adimplemento da transação.
Compromisso de renovação do laudo de avaliação dos ativos dados em garantia a cada 3 anos.
A sociedade e seus controladores, administradores, gestores e representantes legais não podem alientar bens e direitos sem prévia comunicação à Fazenda Nacional.</t>
  </si>
  <si>
    <t>4ª</t>
  </si>
  <si>
    <t>PR</t>
  </si>
  <si>
    <t>Massa Falida de Emilio Romani Sociedade Anônima</t>
  </si>
  <si>
    <t>Massa Falida</t>
  </si>
  <si>
    <t>Sem garantias</t>
  </si>
  <si>
    <t>Sabrina Ribas
Luis Guilherme da Silva Cardoso
Ricardo Augusto Ioris</t>
  </si>
  <si>
    <t>Massa Falida de Telos S.A. Equipamentos e Sistemas</t>
  </si>
  <si>
    <t xml:space="preserve">Este Termo de Transação é um dos mais completos, contendo informações detalhadas sobre principal, juros, multa e encargo legal.
O valor do crédito tributário é inferior ao piso de 15 MM estabelecido nos arts.  4º e 32 da Portaria 9.917/20, segundo os quais créditos dessa monta seriam objeto apenas de transações por adesão. Isso pode levar à conclusão de que o piso é uma regra geral que comporta exceções dependendo da situação específica do contribuinte, a não ser que a PGFN apresente outra justificativa, que não está explicitada no Termo de Transação. </t>
  </si>
  <si>
    <t>Telma Gutierrez de Morais Costa
Luis Guilherme da Silva
Ricardo Augusto Ioris
Rafael Sibemberg Nedir</t>
  </si>
  <si>
    <t>Este Termo de Transação é um dos mais incompletos, não havendo informações sequer sobre o crédito tributário transacionado ou saldo a pagar.</t>
  </si>
  <si>
    <t>Cantareira Construções e Empreendimentos Imobiliários Ltda.</t>
  </si>
  <si>
    <t>Houve seleção dos débitos, não foram incluídas todas as inscrições.
Há justificativa genérica sobre a capacidade de pagamento e grau de recuperabilidade do crédito. No entanto, das obrigações assumidas pelos contribuintes partícipes consta a de informar a situação de processo de recuperação judicial, daí porque possível inferir que a  concessão de descontos máximos permitidos se deu em razão de tal condição. 
PGFN poderá desistir de execuções fiscais de pequeno valor atreladas a juízos trabalhista em que não há garantia. 
A cada 6 meses obrigação dos Requerentes comprovarem que parcelas vincendas do contrato com ente público superam 130% do débito em aberto.
Reconhecimento de solidariedade entre duas das empresas partícipes.</t>
  </si>
  <si>
    <t>45,13% para não previdenciário
41,66% para previdenciário</t>
  </si>
  <si>
    <t>Marcelo Avelino Bortolini
Sidney Castanho Scholtão
Rafael Sibemberg Nedir</t>
  </si>
  <si>
    <t>O valor do crédito tributário é inferior ao piso de 15 MM estabelecido nos arts.  4º e 32 da Portaria 9.917/20, segundo os quais créditos dessa monta seriam objeto apenas de transações por adesão. Isso pode levar à conclusão de que o piso é uma regra geral que comporta exceções dependendo da situação específica do contribuinte, a não ser que a PGFN apresente outra justificativa, que não está explicitada no Termo de Transação. 
A regra geral da Portaria 9.917/20 é de até 84 parcelas para débitos não previdenciários e 60 parcelas para débitos previdenciários. Há exceção para microempresas, pessoas físicas, sociedades cooperativas, entre outros. No art. 41 da referida Portaria, há previsão específica para sociedades em recuperação judicial. No inciso I, há novamente a restrição de 84, sendo permitida extensão para até 145 parcelas "na hipótese de empresário individual, microempresa, empresa de pequeno porte, instituições de ensino, sociedades cooperativas e demais organizações da sociedade civil, quando for o caso, em recuperação judicial". O Termo de Transação não esclarece se o contribuinte em questão se encontra em uma das referidas hipóteses excepecionais.</t>
  </si>
  <si>
    <t>5ª</t>
  </si>
  <si>
    <t>PE</t>
  </si>
  <si>
    <t>Diniz Engenharia Ltda.</t>
  </si>
  <si>
    <t>Ana Carolina Araujo de Souza
Bruno Dias Alves da Silva</t>
  </si>
  <si>
    <t>Há justificativa genérica sobre a capacidade de pagamento e grau de recuperabilidade do crédito.
Este Termo de Transação é um dos mais incompletos, não havendo informações sequer sobre o crédito tributário transacionado ou saldo a pagar.</t>
  </si>
  <si>
    <t>Há justificativa genérica sobre a capacidade de pagamento e grau de recuperabilidade do crédito.
Reconhecimento de solidariedade por outra empresa do Grupo.
Obrigação do devedor registrar o termo de transação em cartório.
Após pagamento de entrada correspondente a 2% do valor da dívida após descontos em três parcelas, foi concedida moratória de três meses. 
Fazendo o cruzamento das informações extraídas do Termo de Transação com informações extraídas do Painel de Parcelamento da PGFN, verifica-se que o saldo a pagar do Termo  corresponde ao "Valor Consolidado" do Painel. Portanto, não há informação sobre principal, multa, juros e encargos antes da aplicação de descontos.</t>
  </si>
  <si>
    <t>CRÉDITO TRIBUTÁRIO TOTAL (ANTES DE DESCONTOS)</t>
  </si>
  <si>
    <t>DESCONTO APLICADO</t>
  </si>
  <si>
    <t>PRINCIPAL
 (ANTES DE DESCONTOS)</t>
  </si>
  <si>
    <t>MULTA
 (ANTES DE DESCONTOS)</t>
  </si>
  <si>
    <t>JUROS
 (ANTES DE DESCONTOS)</t>
  </si>
  <si>
    <t>ENCARGO LEGAL 
(ANTES DE DESCONTOS)</t>
  </si>
  <si>
    <t>SALDO A PAGAR 
(APÓS DESCONTOS)</t>
  </si>
  <si>
    <t>PRINCIPAL 
(APÓS DESCONTOS)</t>
  </si>
  <si>
    <t>Ortoplan Comércio de Implantes Ortopédicos Ltda.</t>
  </si>
  <si>
    <t>Não</t>
  </si>
  <si>
    <t>Individual</t>
  </si>
  <si>
    <t>20% a 40%
(Anexo não disponível)</t>
  </si>
  <si>
    <t>Bens móveis e imóveis
(Anexo não disponível)</t>
  </si>
  <si>
    <t>Sim</t>
  </si>
  <si>
    <t xml:space="preserve">Fernando Aguiar Cavalcanti de Oliveira
Alexandre de Andrade Freire
</t>
  </si>
  <si>
    <t xml:space="preserve">A transação possui dois anexos onde está dicriminado a dívida, os descontos, as parcelas e as garantias. Não entanto, os anexos não foram publicizados com os demais termos da transação. </t>
  </si>
  <si>
    <t>Boa Viagem Negócios Imobiliários Ltda.</t>
  </si>
  <si>
    <t>70%
(Anexo não disponível)</t>
  </si>
  <si>
    <t>Sem garantias
(Pagamento à vista)</t>
  </si>
  <si>
    <t xml:space="preserve">Valores depositados judicialmente em Ação Revisional de Parcelamento foram utilizados para pagamento parcial da transação. </t>
  </si>
  <si>
    <t>Centro Educacional do Nordeste Ltda.</t>
  </si>
  <si>
    <t>Débitos Previdenciários e débitos não previdenciários</t>
  </si>
  <si>
    <t>Embora tenha sido aplicado o desconto máximo e o número de parcelas máximo, não há qualquer justificativa sobre a capacidade de pagamento e grau de recuperabilidade do crédito. Ainda, a transação possui anexo onde está dicriminada dívida, os descontos e as parcelas. Não entanto, o anexo não foi publicizados com os demais termos da transação.  Informações completas também não estão disponíveis no banco de dados da PGFN.</t>
  </si>
  <si>
    <t xml:space="preserve">José Gualberto de Freitas Almeida
Fazenda São Paulo S.A.
Fazenda Milano S.A.
Fazenda Pérsico S.A.
Fazenda Agropart S.A.
</t>
  </si>
  <si>
    <t xml:space="preserve">Individual </t>
  </si>
  <si>
    <t>Alexandre de Andrade Freire
Tobias de Melo Carvalho
Murilo Teixeira Avelino</t>
  </si>
  <si>
    <t>Houve a inclusão parcial dos débitos das sociedades na transação. 
Houve conjugação de transação individual e extraordinária no mesmo termo.
Reconhecimento de solidariedade por interesse comum no fato gerador das obrigações pactuadas.
Valores depositados em juízo foram utilizados para o pagamento.</t>
  </si>
  <si>
    <t>Jetlog Serviços Ltda.</t>
  </si>
  <si>
    <t>Alexandre de Andrade Freire
Cecília Bezerra de Mello Lemos Rabelo
Bruno Dias Alves da Silva</t>
  </si>
  <si>
    <t xml:space="preserve">Não há qualquer justificativa sobre a capacidade de pagamento e grau de recuperabilidade do crédito.
Não há informação sobre garantias prestadas. </t>
  </si>
  <si>
    <t>CE</t>
  </si>
  <si>
    <t>Massa Falida da Cia. de Fiação e Tecidos Ernesto Deocleciano</t>
  </si>
  <si>
    <t>IRPJ - Fonte
PIS/COFINS</t>
  </si>
  <si>
    <t>Não foram apresentadas garantias</t>
  </si>
  <si>
    <t>Joana Maria Onofre de Araujo</t>
  </si>
  <si>
    <t>PB</t>
  </si>
  <si>
    <t>Município de Patos</t>
  </si>
  <si>
    <t>Silas Silva de Oliveira</t>
  </si>
  <si>
    <t>Compromisso de regularizar em até 90 dias novos débitos inscritos em dívida ativa da União após a formalização do acordo.</t>
  </si>
  <si>
    <t xml:space="preserve">Link </t>
  </si>
  <si>
    <t>Porto Recife S.A.</t>
  </si>
  <si>
    <t>50%
(Anexo não disponível)</t>
  </si>
  <si>
    <t>1ª</t>
  </si>
  <si>
    <t>MT</t>
  </si>
  <si>
    <t>Não informado</t>
  </si>
  <si>
    <t>Até 70,00% para os débitos de Compensados Trombettas Ltda. EPP e CIS Beneficados de Madeiras Ltda.-EPP
Até 50,00% para os débitos de Compensados Angela Ltda.</t>
  </si>
  <si>
    <t>Imóvel anteriormente alienado para frustrar a recuperação dos créditos inscritos. 
Depósitos judiciais realizados em medidas judiciais em curso.</t>
  </si>
  <si>
    <t>Evandro Gugel</t>
  </si>
  <si>
    <t>Declaração de composição de grupo econômico, nos termos do art. 124, I, do CTN.
Declaração de imóvel alienado previamente à transação teve o propósito de frustrar a recuperação dos créditos inscritos. Como forma de desfazimento, o imóvel é oferecido em garantia dos débitos transacionados.
Representantes legais assumem corresponsabilidade pelos créditos transacionados.
Não há qualquer justificativa sobre a capacidade de pagamento e grau de recuperabilidade do crédito.
O valor do "Crédito Tributário Total" não foi informado no Termo de Transação.
Os valores depositados em ações de desapropriação serão amortizados total ou parcialmete nos parcelamentos dos débitos elencados no Anexo I. 
Concordância com a liberação de das constrições que recaem sobre valores não destinados ao acordo de transação.</t>
  </si>
  <si>
    <t>MG</t>
  </si>
  <si>
    <t>Não há indicação expressa. Há determinação de que apenas serão levantadas eventuais garantias existentes em execuções fiscais e cautelares, caso os bens remanescentes sejam suficientes para a integral garantia do débito, considerando-se o saldo devedor sem os descontos obtidos na transação</t>
  </si>
  <si>
    <t>SIM para algumas EF</t>
  </si>
  <si>
    <t>Gustavo Gomes Lopes Duarte</t>
  </si>
  <si>
    <t>Descrição breve sobre a capacidade de pagamento e grau de recuperabilidade do crédito. 
Foram aproveitados, como amortização de dívida, os valores depositados em juízo nas medidas judiciais relacionadas aos débitos incluídos na transação, o que posteriormente reduzirá o valor das parcelas negociadas na Transação.
Previsão de que a formalização da transação não impede que as inscrições em DAU sejam objeto de futura e eventual compensação de ofício, bem como a  utilização de eventuais créditos reconhecidos em decisão judicial transitada em julgado, para
fins de amortização ou liquidação do saldo devedor, hipótese em que deverá ser efetuada a reconsolidação dos débitos transacionados.
Possibilidade de migração dos débitos transacionados para eventual parcelamento mais vantajoso.
Previsão de liberação de constrição de determinados bens (veículos da frota atual) e desistência, da União, da penhra sobre os valores provenientes de contrato de locação.</t>
  </si>
  <si>
    <t>DF</t>
  </si>
  <si>
    <t>Devedores:
JW GRANJEIRO CONSULTORIA E TREINAMENTO LTDA ME
VERITAD CORPORATION CURSOS E TREINAMENTO
EIRELI ME
BRASÍLIA CORPORATION
CONSULTORIA E ASSESSORIA LTDA, 
CEILÂNDIA CURSOS E CONCURSOS EIRELI EPP
GRAN COMUNICACAO LTDA EPP
GRAN
CURSOS E CONCURSOS LTDA
HUDSON
TREINAMENTOS LTDA (antigamente denominada PLEIADE TREINAMENTOS
CURSOS E CONCURSOS LTDA),
TAGUATINGA
CURSOS E CONCURSOS LTDA
JW EDITORA LTDA.
LUZ DA LUA TREINAMENTOS LTDA –
EPP (antigamente denominada SAO PAULO TREINAMENTOS CURSOS E
CONCURSOS LTDA EPP)
GRAN SERVICOS TECNOLOGIA DA INFORMACAO EIRELI ME
GG EDUCACIONAL LTDA
MG CONSULTORES
ASSOCIADOS EIRELI
JOSÉ WILSON GRANJEIRO OLIVEIRA
IVONETE ARAUJO CARVALHO LIMA
GRANJEIRO
GABRIEL VINÍCIUS CARVALHO GRANJEIRO
MATHEUS CARVALHO GRANJEIRO
RODRIGO TELES CALADO</t>
  </si>
  <si>
    <t>Não está expresso</t>
  </si>
  <si>
    <t>Luís Francisco Santos Coelho
Renata Orro de Freitas Costa Maciel
Tatiana Irber</t>
  </si>
  <si>
    <t>Não há qualquer justificativa sobre a capacidade de pagamento e grau de recuperabilidade do crédito.
O valor do "Crédito Tributário Total" não foi informado no Termo de Transação.</t>
  </si>
  <si>
    <t xml:space="preserve">Cruzeiro Esporte Clube </t>
  </si>
  <si>
    <t>Bens e direitos do Anexo III (garantias imobiliárias e pignoratícias), avaliados pelo menor preço atribuído nos laudos</t>
  </si>
  <si>
    <t>Ranulfo Alexandre Pingosvik de Melo Vale
Tatiana Irber
Rubens Quaresma Santos
João Grognet</t>
  </si>
  <si>
    <t>Autorizada substituição de constrição de imóvel efetuada em execução fiscal ("Campestre 2") por aquele que compõe a Sede Administrativa do devedor; a desistência de ação de cobrança ajuizada pelo devedor; a substituição de constrição efetuada em execução fiscal e a desconstituição da constrição efetivada na mesma EF.
Renúncia específica a discussões relativas às dívidas de PIS/Cofins.
A entrada será quitada mediante a conversão em renda de depósitos judiciais realizados em execução fiscal, que servirá para a extinçã ointegral e sem descontos da dívida cobrada na EF de onde provêm dos depósitos. O saldo que exceder a quitação da referida EF será utilizada como pagamento antecipado de parcelas, a fim de amortizar o saldo devedor.
Autorizada a substituição de alguns por outros previamente estabelecidos, desde que livres de gravames e dívidas.
Possibilidade de migração dos débitos transacionados para eventual parcelamento mais vantajoso.</t>
  </si>
  <si>
    <t>GO</t>
  </si>
  <si>
    <t xml:space="preserve">José Fornieles Robles (Espólio)
</t>
  </si>
  <si>
    <t>Como o pagamento foi em poucas parcelas, esta questão não foi objeto da Transação.</t>
  </si>
  <si>
    <t>Marcos José Chaves
Sergio Luís Lolata Pereira</t>
  </si>
  <si>
    <t>O valor do "Crédito Tributário Total" não foi informado no Termo de Transação, tendo sido aqui calculado por inferência lógica.
Cita equivocadamente como base as Portarias PGFN 360/18 e PGFN 742/18, que dizem respeito ao NJP e não à Transação.</t>
  </si>
  <si>
    <t>AG Resinas Ltda.</t>
  </si>
  <si>
    <t>Como o pagamento foi à vista, esta questão não foi objeto da Transação.</t>
  </si>
  <si>
    <t>Rafael José Santana Pena</t>
  </si>
  <si>
    <t>Sócios pessoas físicas assinaram Transação como anuentes.
Houve declaração expressa dos sócios de que a regularização visava alienação das quotas sociais da empresa.
Os sócios assumiram o compromisso de que a referida alienação não lhes geraria "lucro", caso contrário responderiam pessoalmente pelo valor do desconto concedido, limitado ao valor do total do lucro auferido por ambos, sendo solidariamente responsáveis pelo todo.
Menção vaga à capacidade de pagamento e grau de recuperabilidade.</t>
  </si>
  <si>
    <t>PI</t>
  </si>
  <si>
    <t>Imóveis relacionados no Anexo III (não disponibilizado)</t>
  </si>
  <si>
    <t>Pablo Galas Pedrosa
Rubens Quaresma Santos
Bernardo Alves da Silva Junior
Tatiana Irber
Alexandre de Andrade Freire</t>
  </si>
  <si>
    <t>Até 70,00%</t>
  </si>
  <si>
    <t>Direito incidentes sobre as marcas Galois, Galois Infantil e Le Petit Galois, registradas no INPI (garantia parcial)</t>
  </si>
  <si>
    <t>Luís Francisco Santos Coelho
Tatiana Irber</t>
  </si>
  <si>
    <t>Houve a confissão de débitos também em nome dos corresponsáveis e pessoas físicas que subscrevem o acordo de transação.
O valor do "Crédito Tributário Total" não foi informado no Termo de Transação.
Não há qualquer justificativa sobre a capacidade de pagamento e grau de recuperabilidade do crédito.
Foram aproveitados, como amortização parcial de dívida previdenciária, os valores depositados em juízo referentes a débitos incluídos na transação, bem como a alienação de imóvel apresentado em garantia em execução fiscal, o que posteriormente reduzirá o valor das parcelas negociadas na Transação.</t>
  </si>
  <si>
    <t>Compensados Trombetas Ltda. EPP
CIS Beneficiados de Madeiras Ltda. EPP
Compensados Angela Ltda.
Corresponsáveis:
Irene Teresinha Trombetta
Itamir Luis Trombetta
Carlos Antonio Trombetta
T.M. Holding Ltda.
Sandra Santos Cavazzani Trombetta</t>
  </si>
  <si>
    <t>Servi-San Ltda.
Servi-San Vigilância e Transporte de Valores Ltda.
Forma SEG - Centro de Formação de Pessoal para Segurança Ltda.
Plast-Nor Plásticos do Nordeste Ltda.
Inbra-Pack - Indústria Brasileira de Embalagens Ltda.
Franscisco de Assis Veras Fortes (corresponsável pessoal)</t>
  </si>
  <si>
    <t>Devedor:
Marques &amp; Prieto Ltda. – ME
Demais Citados:
Angel Prieto
Dulcineia Maria Marques Dos Santos
Marilourdes Marques Dos Santos
Pedro Henrique Marques Nakamura
Rafael Marques Nakamura
Cleusa Cecília Marques Dos Santos
Instituto De Aprendizagem Nossa Senhora Das Graças Ltda – ME
Instituto Ápice De Ensino Ltda.
Aprendizagem Virtual Evariste Ltda.
Principal Escola Infantil Ltda.</t>
  </si>
  <si>
    <t>Devedores:
Araújo Distribuidora Ltda.
Citados:
CJGM PARTICIPAÇÕES LTDA
ROBSON LOUBAK TEIXEIRA
GERALDO SABINO DE ARAÚJO
MARIALDO SABINO DE ARAÚJO
ROBSON LOUBAK TEIXEIRA PARTICIPAÇÕES LTDA.
ARAÚJO COMERCIAL E PRESTAÇÃO DE SERVIÇOS LTDA.
ARAÚJO EMPREENDIMENTOS IMOBILIÁRIOS E LOCAÇÃO DE VEÍCULOS LTDA.</t>
  </si>
  <si>
    <t>PF/PJ</t>
  </si>
  <si>
    <t>Perfil | Sujeito Passivo</t>
  </si>
  <si>
    <t>Número | Sujeito Passivo</t>
  </si>
  <si>
    <t>Recuperação Judicial / Falência</t>
  </si>
  <si>
    <t xml:space="preserve"> Garantias </t>
  </si>
  <si>
    <t>R$</t>
  </si>
  <si>
    <t>Principal</t>
  </si>
  <si>
    <t>Multa</t>
  </si>
  <si>
    <t>Juros</t>
  </si>
  <si>
    <t>Encargos</t>
  </si>
  <si>
    <t>TOTAL</t>
  </si>
  <si>
    <t>Crédito Tributário (APÓS os descontos)</t>
  </si>
  <si>
    <t>Crédito Tributário (ANTES dos descontos)</t>
  </si>
  <si>
    <t>Maior desconto</t>
  </si>
  <si>
    <t>Menor Desconto</t>
  </si>
  <si>
    <t>Números Incompletos</t>
  </si>
  <si>
    <t>A</t>
  </si>
  <si>
    <t>Inconsistência entre A e B</t>
  </si>
  <si>
    <t>PARCELAS
Débitos Previdenciários</t>
  </si>
  <si>
    <t>PARCELAS
Débitos Não Previdenciários</t>
  </si>
  <si>
    <t>Número médio de parcelas - Débitos Previdenciários</t>
  </si>
  <si>
    <t>Número médio de parcelas - Débitos Não Previdenciários</t>
  </si>
  <si>
    <t>Recebíveis</t>
  </si>
  <si>
    <t>Depósitos Judiciais</t>
  </si>
  <si>
    <t>Precatórios</t>
  </si>
  <si>
    <t>Imóveis</t>
  </si>
  <si>
    <t>Imóvel</t>
  </si>
  <si>
    <t>Equipamentos</t>
  </si>
  <si>
    <t>Seguro Garantia</t>
  </si>
  <si>
    <t>Outros Bens</t>
  </si>
  <si>
    <t>N/A
Pagamento à vista</t>
  </si>
  <si>
    <t>Direitos sobre Propriedade Intelectual</t>
  </si>
  <si>
    <t xml:space="preserve">GARANTIAS
</t>
  </si>
  <si>
    <t xml:space="preserve">Depósitos judiciais </t>
  </si>
  <si>
    <t>N/A - pagamento à vista</t>
  </si>
  <si>
    <t>Propriedade Intelectual</t>
  </si>
  <si>
    <r>
      <t xml:space="preserve">O valor do "Crédito Tributário Total" não foi informado no Termo de Transação, tendo sido aqui calculado por inferência lógica.
Não há qualquer justificativa sobre a capacidade de pagamento e grau de recuperabilidade do crédito.
Foram aproveitados, como amortização de dívida, os valores depositados em juízo nas execuções fiscais relacionadas aos débitos incluídos na transação, o que posteriormente reduzirá o valor das parcelas negociadas na Transação.
Parcelas não são de igual valor, são aumentadas progressivamente ao longo do tempo.
Permissão de migração para futuros parcelamentos que sejam editados após a celebração da transação.
O número de 145 parcelas só foi aplicado em razão de se tratar de sociedade cooperativa, cf. art. 14, VII, parágrafo 2º, da Portaria 9917/2020.
Fazendo o cruzamento das informações extraídas do Termo de Transação com informações extraídas do Painel de Parcelamento da PGFN, verifica-se que o saldo a pagar do Termo (R$ 82.850.689) corresponde ao "Valor Consolidado" do Painel. Portanto, não há informação sobre </t>
    </r>
    <r>
      <rPr>
        <sz val="8"/>
        <color theme="1"/>
        <rFont val="Gotham"/>
        <family val="3"/>
      </rPr>
      <t>principal, multa, juros e encargos</t>
    </r>
    <r>
      <rPr>
        <b/>
        <sz val="8"/>
        <color theme="1"/>
        <rFont val="Gotham"/>
        <family val="3"/>
      </rPr>
      <t xml:space="preserve"> antes da aplicação de descontos.</t>
    </r>
  </si>
  <si>
    <t>Diversos</t>
  </si>
  <si>
    <t xml:space="preserve">Plano de amortização com parcelas escalonadas e valor reduzido nos primeiros 24 meses.
Previsão de aproveitamento de possível crédito de ação judicial (exclusão do ICMS na base do PIS/COFINS) para quitação dos débitos. </t>
  </si>
  <si>
    <t>Ana Carolina Araujo de Souza
Bruno Dias Alves da Silva
Roberto Domingos da Mota</t>
  </si>
  <si>
    <t>Apresentação de bens pessoais dos sócios por meio de DIPF</t>
  </si>
  <si>
    <t>44,56% para débitos não previdenciários 
36,98% para débitos previdenciários</t>
  </si>
  <si>
    <t>José Eduardo Battaus
Nelson Ribeiro de Freitas Neto</t>
  </si>
  <si>
    <t xml:space="preserve">Ello Correntes Comércio e Indústria Ltda. 
Luiz Carlos Zambon
Ademir de Souza
</t>
  </si>
  <si>
    <t>Data de atualização: 01.02.2021</t>
  </si>
  <si>
    <t>DFC Administradora de Imóveis Ltda.
Bonanza Supermercados Ltda.
Aliança Distribuidora de Gêneros Alimentícios Ltda.</t>
  </si>
  <si>
    <t>PA</t>
  </si>
  <si>
    <t>Paulo Afonso Costa
Mafrinorte Matadouro Frigorífico do Norte Ltda.
Ativos Alimentos Exp. E Imp. Eireli
Constrular Construção e Empreendimentos Imobiliários Ltda.</t>
  </si>
  <si>
    <t>50 e 70% para débitos não previdenciários 
49,71% para débitos previdenciários</t>
  </si>
  <si>
    <t xml:space="preserve">
145</t>
  </si>
  <si>
    <t>Depósitos Judiciais
Imóveis</t>
  </si>
  <si>
    <t>Ana Luiza Rayol Ferraz Queiroz
Rogério Barbosa
Victor Correa Faraon Pinheiro
Bruno Alves</t>
  </si>
  <si>
    <t>Contribuinte confessa fatos narrados pela União em IDPJ
PFN exigiu a garantia de todo o valor (sem descontos)
Há divulgação de anexo com os débitos elegíveis à transação, mas não há detalhamento sobre descontos, juros, multa, encargos.</t>
  </si>
  <si>
    <t>Aferições</t>
  </si>
  <si>
    <t>Crescimento</t>
  </si>
  <si>
    <t>1ª (2020)</t>
  </si>
  <si>
    <t>2ª (2021)</t>
  </si>
  <si>
    <t>MULTA 
(APÓS DESCONTOS)</t>
  </si>
  <si>
    <t>JUROS 
(APÓS DE DESCONTOS)</t>
  </si>
  <si>
    <t>ENCARGO LEGAL
 (APÓS DE DESCONTOS)</t>
  </si>
  <si>
    <t>Houve a confissão de débitos também em nome do corresponsável Francisco de Assis Veras Fortes.
O valor do "Crédito Tributário Total" não foi informado no Termo de Transação.O "Saldo a Pagar" também não foi informado no termo de transação, mas resultado da somatória dos números constantes da planilha matriz da PGFN.
Não há qualquer justificativa sobre a capacidade de pagamento e grau de recuperabilidade do crédito.
Há descasamento de informações do termo de transação e do painel de parcelamentos da PGFN. Consideramos nesta pesquisa as informações do termo de transação (número de parcelas).
Transação conduzida por procuradores da 1ª e 5ª Região.</t>
  </si>
  <si>
    <t>TOTAIS</t>
  </si>
  <si>
    <t>MÉDIAS</t>
  </si>
  <si>
    <t>Total de Novas Transações</t>
  </si>
  <si>
    <t>Seção</t>
  </si>
  <si>
    <t>Denominação</t>
  </si>
  <si>
    <t>AGRICULTURA, PECUÁRIA, PRODUÇÃO FLORESTAL, PESCA E AQÜICULTURA</t>
  </si>
  <si>
    <t>INDÚSTRIAS EXTRATIVAS</t>
  </si>
  <si>
    <t>C</t>
  </si>
  <si>
    <t>INDÚSTRIAS DE TRANSFORMAÇÃO</t>
  </si>
  <si>
    <t>D</t>
  </si>
  <si>
    <t>ELETRICIDADE E GÁS</t>
  </si>
  <si>
    <t>E</t>
  </si>
  <si>
    <t>ÁGUA, ESGOTO, ATIVIDADES DE GESTÃO DE RESÍDUOS E DESCONTAMINAÇÃO</t>
  </si>
  <si>
    <t>F</t>
  </si>
  <si>
    <t>CONSTRUÇÃO</t>
  </si>
  <si>
    <t>G</t>
  </si>
  <si>
    <t>COMÉRCIO; REPARAÇÃO DE VEÍCULOS AUTOMOTORES E MOTOCICLETAS</t>
  </si>
  <si>
    <t>H</t>
  </si>
  <si>
    <t>TRANSPORTE, ARMAZENAGEM E CORREIO</t>
  </si>
  <si>
    <t>I</t>
  </si>
  <si>
    <t>ALOJAMENTO E ALIMENTAÇÃO</t>
  </si>
  <si>
    <t>J</t>
  </si>
  <si>
    <t>INFORMAÇÃO E COMUNICAÇÃO</t>
  </si>
  <si>
    <t>K</t>
  </si>
  <si>
    <t>ATIVIDADES FINANCEIRAS, DE SEGUROS E SERVIÇOS RELACIONADOS</t>
  </si>
  <si>
    <t>L</t>
  </si>
  <si>
    <t>ATIVIDADES IMOBILIÁRIAS</t>
  </si>
  <si>
    <t>M</t>
  </si>
  <si>
    <t>ATIVIDADES PROFISSIONAIS, CIENTÍFICAS E TÉCNICAS</t>
  </si>
  <si>
    <t>N</t>
  </si>
  <si>
    <t>ATIVIDADES ADMINISTRATIVAS E SERVIÇOS COMPLEMENTARES</t>
  </si>
  <si>
    <t>O</t>
  </si>
  <si>
    <t>ADMINISTRAÇÃO PÚBLICA, DEFESA E SEGURIDADE SOCIAL</t>
  </si>
  <si>
    <t>P</t>
  </si>
  <si>
    <t>EDUCAÇÃO</t>
  </si>
  <si>
    <t>Q</t>
  </si>
  <si>
    <t>SAÚDE HUMANA E SERVIÇOS SOCIAIS</t>
  </si>
  <si>
    <t>R</t>
  </si>
  <si>
    <t>ARTES, CULTURA, ESPORTE E RECREAÇÃO</t>
  </si>
  <si>
    <t>S</t>
  </si>
  <si>
    <t>OUTRAS ATIVIDADES DE SERVIÇOS</t>
  </si>
  <si>
    <t>T</t>
  </si>
  <si>
    <t>SERVIÇOS DOMÉSTICOS</t>
  </si>
  <si>
    <t>U</t>
  </si>
  <si>
    <t>ORGANISMOS INTERNACIONAIS E OUTRAS INSTITUIÇÕES EXTRATERRITORIAIS</t>
  </si>
  <si>
    <t>ATIVIDADE ECONÔMICA</t>
  </si>
  <si>
    <t>Atividade Econômica</t>
  </si>
  <si>
    <t>Descrição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</si>
</sst>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R$-416]\ * #,##0.00_-;\-[$R$-416]\ * #,##0.00_-;_-[$R$-416]\ * &quot;-&quot;??_-;_-@_-"/>
  </numFmts>
  <fonts count="14" x14ac:knownFonts="1">
    <font>
      <sz val="11"/>
      <color theme="1"/>
      <name val="Calibri"/>
      <family val="2"/>
      <scheme val="minor"/>
    </font>
    <font>
      <sz val="11"/>
      <color theme="1"/>
      <name val="Gotham"/>
      <family val="3"/>
    </font>
    <font>
      <b/>
      <sz val="10"/>
      <color theme="1"/>
      <name val="Gotham"/>
      <family val="3"/>
    </font>
    <font>
      <sz val="10"/>
      <color theme="1"/>
      <name val="Gotham"/>
      <family val="3"/>
    </font>
    <font>
      <b/>
      <sz val="10"/>
      <color theme="0"/>
      <name val="Gotham"/>
      <family val="3"/>
    </font>
    <font>
      <sz val="11"/>
      <color theme="1"/>
      <name val="Calibri"/>
      <family val="2"/>
      <scheme val="minor"/>
    </font>
    <font>
      <u/>
      <sz val="11"/>
      <color theme="10"/>
      <name val="Calibri"/>
      <family val="2"/>
      <scheme val="minor"/>
    </font>
    <font>
      <sz val="8"/>
      <color theme="1"/>
      <name val="Gotham"/>
      <family val="3"/>
    </font>
    <font>
      <b/>
      <sz val="8"/>
      <name val="Gotham"/>
      <family val="3"/>
    </font>
    <font>
      <b/>
      <sz val="8"/>
      <color theme="1"/>
      <name val="Gotham"/>
      <family val="3"/>
    </font>
    <font>
      <u/>
      <sz val="8"/>
      <color theme="10"/>
      <name val="Calibri"/>
      <family val="2"/>
      <scheme val="minor"/>
    </font>
    <font>
      <b/>
      <sz val="8"/>
      <color rgb="FFFF0000"/>
      <name val="Gotham"/>
      <family val="3"/>
    </font>
    <font>
      <b/>
      <sz val="10"/>
      <color rgb="FFF1F1F1"/>
      <name val="Arial"/>
      <family val="2"/>
    </font>
    <font>
      <sz val="9"/>
      <color rgb="FF757F8E"/>
      <name val="Arial"/>
      <family val="2"/>
    </font>
  </fonts>
  <fills count="9">
    <fill>
      <patternFill patternType="none"/>
    </fill>
    <fill>
      <patternFill patternType="gray125"/>
    </fill>
    <fill>
      <patternFill patternType="solid">
        <fgColor theme="6" tint="0.59999389629810485"/>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1F1F1"/>
        <bgColor indexed="64"/>
      </patternFill>
    </fill>
    <fill>
      <patternFill patternType="solid">
        <fgColor rgb="FF999999"/>
        <bgColor indexed="64"/>
      </patternFill>
    </fill>
  </fills>
  <borders count="1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rgb="FFC0C0C0"/>
      </right>
      <top/>
      <bottom/>
      <diagonal/>
    </border>
  </borders>
  <cellStyleXfs count="3">
    <xf numFmtId="0" fontId="0" fillId="0" borderId="0"/>
    <xf numFmtId="9" fontId="5" fillId="0" borderId="0" applyFont="0" applyFill="0" applyBorder="0" applyAlignment="0" applyProtection="0"/>
    <xf numFmtId="0" fontId="6" fillId="0" borderId="0" applyNumberFormat="0" applyFill="0" applyBorder="0" applyAlignment="0" applyProtection="0"/>
  </cellStyleXfs>
  <cellXfs count="53">
    <xf numFmtId="0" fontId="0" fillId="0" borderId="0" xfId="0"/>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3" borderId="0" xfId="0" applyFont="1" applyFill="1" applyAlignment="1">
      <alignment vertical="center" wrapText="1"/>
    </xf>
    <xf numFmtId="1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4" borderId="0" xfId="0" applyFill="1"/>
    <xf numFmtId="0" fontId="0" fillId="4" borderId="3" xfId="0" applyFill="1" applyBorder="1"/>
    <xf numFmtId="164" fontId="4" fillId="3" borderId="1" xfId="0" applyNumberFormat="1" applyFont="1" applyFill="1" applyBorder="1" applyAlignment="1">
      <alignment horizontal="center" vertical="center" wrapText="1"/>
    </xf>
    <xf numFmtId="0" fontId="0" fillId="4" borderId="0" xfId="0" applyFill="1" applyBorder="1"/>
    <xf numFmtId="0" fontId="1" fillId="4" borderId="0" xfId="0" applyFont="1" applyFill="1"/>
    <xf numFmtId="2" fontId="4" fillId="3" borderId="1" xfId="0" applyNumberFormat="1" applyFont="1" applyFill="1" applyBorder="1" applyAlignment="1">
      <alignment horizontal="center" vertical="center" wrapText="1"/>
    </xf>
    <xf numFmtId="9" fontId="2" fillId="2" borderId="1" xfId="1" applyFont="1" applyFill="1" applyBorder="1" applyAlignment="1">
      <alignment horizontal="center" vertical="center" wrapText="1"/>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2" fillId="4" borderId="1" xfId="0" applyFont="1" applyFill="1" applyBorder="1" applyAlignment="1">
      <alignment horizontal="center" vertical="center" wrapText="1"/>
    </xf>
    <xf numFmtId="164" fontId="3" fillId="3" borderId="0" xfId="0" applyNumberFormat="1" applyFont="1" applyFill="1" applyAlignment="1">
      <alignment vertical="center" wrapText="1"/>
    </xf>
    <xf numFmtId="164" fontId="0" fillId="0" borderId="0" xfId="0" applyNumberFormat="1"/>
    <xf numFmtId="2"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10" fillId="2" borderId="1" xfId="2"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9" fontId="9" fillId="2" borderId="1" xfId="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 fillId="4" borderId="3" xfId="0" applyFont="1" applyFill="1" applyBorder="1" applyAlignment="1">
      <alignment horizontal="center"/>
    </xf>
    <xf numFmtId="9" fontId="1" fillId="4" borderId="3" xfId="0" applyNumberFormat="1" applyFont="1" applyFill="1" applyBorder="1" applyAlignment="1">
      <alignment horizontal="center"/>
    </xf>
    <xf numFmtId="9" fontId="0" fillId="4" borderId="0" xfId="0" applyNumberFormat="1" applyFill="1"/>
    <xf numFmtId="9" fontId="0" fillId="4" borderId="0" xfId="1" applyFont="1" applyFill="1"/>
    <xf numFmtId="0" fontId="8"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2" fontId="9" fillId="6" borderId="1" xfId="0" applyNumberFormat="1" applyFont="1" applyFill="1" applyBorder="1" applyAlignment="1">
      <alignment horizontal="center" vertical="center" wrapText="1"/>
    </xf>
    <xf numFmtId="10" fontId="9" fillId="5" borderId="1" xfId="0" applyNumberFormat="1" applyFont="1" applyFill="1" applyBorder="1" applyAlignment="1">
      <alignment horizontal="center" vertical="center" wrapText="1"/>
    </xf>
    <xf numFmtId="10" fontId="9" fillId="5" borderId="1" xfId="1" applyNumberFormat="1" applyFont="1" applyFill="1" applyBorder="1" applyAlignment="1">
      <alignment horizontal="center" vertical="center" wrapText="1"/>
    </xf>
    <xf numFmtId="9" fontId="9" fillId="5" borderId="1" xfId="0" applyNumberFormat="1" applyFont="1" applyFill="1" applyBorder="1" applyAlignment="1">
      <alignment horizontal="center" vertical="center" wrapText="1"/>
    </xf>
    <xf numFmtId="10" fontId="8" fillId="5" borderId="1" xfId="0" applyNumberFormat="1" applyFont="1" applyFill="1" applyBorder="1" applyAlignment="1">
      <alignment horizontal="center" vertical="center" wrapText="1"/>
    </xf>
    <xf numFmtId="0" fontId="12" fillId="8" borderId="9" xfId="0" applyFont="1" applyFill="1" applyBorder="1" applyAlignment="1">
      <alignment horizontal="center" vertical="center" wrapText="1"/>
    </xf>
    <xf numFmtId="0" fontId="6" fillId="7" borderId="0" xfId="2" applyFill="1" applyAlignment="1">
      <alignment horizontal="center" vertical="center" wrapText="1"/>
    </xf>
    <xf numFmtId="0" fontId="13" fillId="7" borderId="0" xfId="0" applyFont="1" applyFill="1" applyAlignment="1">
      <alignment horizontal="left" vertical="center" wrapText="1"/>
    </xf>
    <xf numFmtId="0" fontId="2" fillId="4" borderId="0" xfId="0" applyFont="1" applyFill="1" applyBorder="1" applyAlignment="1">
      <alignment horizontal="center" vertical="center" wrapText="1"/>
    </xf>
    <xf numFmtId="164" fontId="0" fillId="4" borderId="0" xfId="0" applyNumberFormat="1" applyFill="1"/>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14" fontId="9" fillId="6" borderId="8" xfId="0" applyNumberFormat="1" applyFont="1" applyFill="1" applyBorder="1" applyAlignment="1">
      <alignment horizontal="center" vertical="center" wrapText="1"/>
    </xf>
  </cellXfs>
  <cellStyles count="3">
    <cellStyle name="Hiperlink" xfId="2" builtinId="8"/>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180975</xdr:rowOff>
    </xdr:from>
    <xdr:to>
      <xdr:col>0</xdr:col>
      <xdr:colOff>1364824</xdr:colOff>
      <xdr:row>0</xdr:row>
      <xdr:rowOff>647700</xdr:rowOff>
    </xdr:to>
    <xdr:pic>
      <xdr:nvPicPr>
        <xdr:cNvPr id="2" name="Imagem 1" descr="Logo Insper">
          <a:extLst>
            <a:ext uri="{FF2B5EF4-FFF2-40B4-BE49-F238E27FC236}">
              <a16:creationId xmlns:a16="http://schemas.microsoft.com/office/drawing/2014/main" id="{2F8FEBAF-5AF1-4454-A4F9-770ECCE6D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80975"/>
          <a:ext cx="1202899"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235324</xdr:colOff>
      <xdr:row>72</xdr:row>
      <xdr:rowOff>67234</xdr:rowOff>
    </xdr:from>
    <xdr:to>
      <xdr:col>4</xdr:col>
      <xdr:colOff>414617</xdr:colOff>
      <xdr:row>75</xdr:row>
      <xdr:rowOff>257734</xdr:rowOff>
    </xdr:to>
    <xdr:sp macro="" textlink="">
      <xdr:nvSpPr>
        <xdr:cNvPr id="3" name="Chave Direita 2">
          <a:extLst>
            <a:ext uri="{FF2B5EF4-FFF2-40B4-BE49-F238E27FC236}">
              <a16:creationId xmlns:a16="http://schemas.microsoft.com/office/drawing/2014/main" id="{6A0B61BF-33D1-4E0C-84DF-D0CA87A33069}"/>
            </a:ext>
          </a:extLst>
        </xdr:cNvPr>
        <xdr:cNvSpPr/>
      </xdr:nvSpPr>
      <xdr:spPr>
        <a:xfrm>
          <a:off x="6712324" y="14937440"/>
          <a:ext cx="784411" cy="874059"/>
        </a:xfrm>
        <a:prstGeom prst="rightBrace">
          <a:avLst/>
        </a:prstGeom>
        <a:ln>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C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BVZ%20Advogados%20Dropbox\Daniel%20Zugman\Relat&#243;rio%20%232%20(Dez-2020)%20(1)\painel%20do%20parcelament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ning Messsage"/>
      <sheetName val="Parcelamentos no Sistema de Par"/>
    </sheetNames>
    <sheetDataSet>
      <sheetData sheetId="0"/>
      <sheetData sheetId="1">
        <row r="86303">
          <cell r="K86303">
            <v>3380043.1</v>
          </cell>
          <cell r="L86303">
            <v>7536.45</v>
          </cell>
          <cell r="M86303">
            <v>18610.45</v>
          </cell>
          <cell r="N86303">
            <v>11941.01</v>
          </cell>
        </row>
        <row r="86304">
          <cell r="K86304">
            <v>104258.33</v>
          </cell>
          <cell r="L86304">
            <v>0</v>
          </cell>
          <cell r="M86304">
            <v>0</v>
          </cell>
          <cell r="N86304">
            <v>0</v>
          </cell>
        </row>
        <row r="440272">
          <cell r="K440272">
            <v>3348410.42</v>
          </cell>
          <cell r="L440272">
            <v>36315.879999999997</v>
          </cell>
          <cell r="M440272">
            <v>87147.09</v>
          </cell>
          <cell r="N440272">
            <v>38749.379999999997</v>
          </cell>
        </row>
        <row r="440273">
          <cell r="K440273">
            <v>3065153.95</v>
          </cell>
          <cell r="L440273">
            <v>54280.49</v>
          </cell>
          <cell r="M440273">
            <v>72537.3</v>
          </cell>
          <cell r="N440273">
            <v>25042.66</v>
          </cell>
        </row>
        <row r="456356">
          <cell r="K456356">
            <v>30994790.5</v>
          </cell>
          <cell r="L456356">
            <v>4463710.07</v>
          </cell>
          <cell r="M456356">
            <v>40835594.869999997</v>
          </cell>
          <cell r="N456356">
            <v>11973860.91</v>
          </cell>
        </row>
        <row r="530482">
          <cell r="K530482">
            <v>1594249.85</v>
          </cell>
          <cell r="L530482">
            <v>73755</v>
          </cell>
          <cell r="M530482">
            <v>390840.48</v>
          </cell>
          <cell r="N530482">
            <v>163742.29</v>
          </cell>
        </row>
        <row r="530483">
          <cell r="K530483">
            <v>107692.41</v>
          </cell>
          <cell r="L530483">
            <v>3110.88</v>
          </cell>
          <cell r="M530483">
            <v>12571.46</v>
          </cell>
          <cell r="N530483">
            <v>6190.33</v>
          </cell>
        </row>
        <row r="541973">
          <cell r="K541973">
            <v>11530522.48</v>
          </cell>
          <cell r="L541973">
            <v>565058.98</v>
          </cell>
          <cell r="M541973">
            <v>3581052.54</v>
          </cell>
          <cell r="N541973">
            <v>1394279.82</v>
          </cell>
        </row>
        <row r="541974">
          <cell r="K541974">
            <v>33568687.140000001</v>
          </cell>
          <cell r="L541974">
            <v>8598678.8800000008</v>
          </cell>
          <cell r="M541974">
            <v>21664777.489999998</v>
          </cell>
          <cell r="N541974">
            <v>7789411.0999999996</v>
          </cell>
        </row>
        <row r="569416">
          <cell r="K569416">
            <v>205997.87</v>
          </cell>
          <cell r="L569416">
            <v>38985.94</v>
          </cell>
          <cell r="M569416">
            <v>115121</v>
          </cell>
          <cell r="N569416">
            <v>21908.33</v>
          </cell>
        </row>
        <row r="585532">
          <cell r="K585532">
            <v>41509787.189999998</v>
          </cell>
          <cell r="L585532">
            <v>14061329.470000001</v>
          </cell>
          <cell r="M585532">
            <v>30815051.949999999</v>
          </cell>
          <cell r="N585532">
            <v>12843660.18</v>
          </cell>
        </row>
        <row r="585533">
          <cell r="K585533">
            <v>26965678.629999999</v>
          </cell>
          <cell r="L585533">
            <v>3492335.29</v>
          </cell>
          <cell r="M585533">
            <v>13986884.640000001</v>
          </cell>
          <cell r="N585533">
            <v>5704248.9800000004</v>
          </cell>
        </row>
      </sheetData>
    </sheetDataSet>
  </externalBook>
</externalLink>
</file>

<file path=xl/persons/person.xml><?xml version="1.0" encoding="utf-8"?>
<personList xmlns="http://schemas.microsoft.com/office/spreadsheetml/2018/threadedcomments" xmlns:x="http://schemas.openxmlformats.org/spreadsheetml/2006/main">
  <person displayName="Frederico Bastos | BVZ Advogados" id="{BE926F10-DEC3-4F58-A258-108BA614C939}" userId="Frederico Bastos | BVZ Advogados" providerId="Non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27" dT="2021-02-16T20:50:18.91" personId="{BE926F10-DEC3-4F58-A258-108BA614C939}" id="{CF5C0217-F2DA-496A-A021-3EAA6A36A2F2}">
    <text>Parte em 84 parcelas e parte em 145.</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concla.ibge.gov.br/busca-online-cnae.html?view=secao&amp;tipo=cnae&amp;versaosubclasse=10&amp;versaoclasse=7&amp;secao=H" TargetMode="External"/><Relationship Id="rId13" Type="http://schemas.openxmlformats.org/officeDocument/2006/relationships/hyperlink" Target="https://concla.ibge.gov.br/busca-online-cnae.html?view=secao&amp;tipo=cnae&amp;versaosubclasse=10&amp;versaoclasse=7&amp;secao=M" TargetMode="External"/><Relationship Id="rId18" Type="http://schemas.openxmlformats.org/officeDocument/2006/relationships/hyperlink" Target="https://concla.ibge.gov.br/busca-online-cnae.html?view=secao&amp;tipo=cnae&amp;versaosubclasse=10&amp;versaoclasse=7&amp;secao=R" TargetMode="External"/><Relationship Id="rId3" Type="http://schemas.openxmlformats.org/officeDocument/2006/relationships/hyperlink" Target="https://concla.ibge.gov.br/busca-online-cnae.html?view=secao&amp;tipo=cnae&amp;versaosubclasse=10&amp;versaoclasse=7&amp;secao=C" TargetMode="External"/><Relationship Id="rId21" Type="http://schemas.openxmlformats.org/officeDocument/2006/relationships/hyperlink" Target="https://concla.ibge.gov.br/busca-online-cnae.html?view=secao&amp;tipo=cnae&amp;versaosubclasse=10&amp;versaoclasse=7&amp;secao=U" TargetMode="External"/><Relationship Id="rId7" Type="http://schemas.openxmlformats.org/officeDocument/2006/relationships/hyperlink" Target="https://concla.ibge.gov.br/busca-online-cnae.html?view=secao&amp;tipo=cnae&amp;versaosubclasse=10&amp;versaoclasse=7&amp;secao=G" TargetMode="External"/><Relationship Id="rId12" Type="http://schemas.openxmlformats.org/officeDocument/2006/relationships/hyperlink" Target="https://concla.ibge.gov.br/busca-online-cnae.html?view=secao&amp;tipo=cnae&amp;versaosubclasse=10&amp;versaoclasse=7&amp;secao=L" TargetMode="External"/><Relationship Id="rId17" Type="http://schemas.openxmlformats.org/officeDocument/2006/relationships/hyperlink" Target="https://concla.ibge.gov.br/busca-online-cnae.html?view=secao&amp;tipo=cnae&amp;versaosubclasse=10&amp;versaoclasse=7&amp;secao=Q" TargetMode="External"/><Relationship Id="rId2" Type="http://schemas.openxmlformats.org/officeDocument/2006/relationships/hyperlink" Target="https://concla.ibge.gov.br/busca-online-cnae.html?view=secao&amp;tipo=cnae&amp;versaosubclasse=10&amp;versaoclasse=7&amp;secao=B" TargetMode="External"/><Relationship Id="rId16" Type="http://schemas.openxmlformats.org/officeDocument/2006/relationships/hyperlink" Target="https://concla.ibge.gov.br/busca-online-cnae.html?view=secao&amp;tipo=cnae&amp;versaosubclasse=10&amp;versaoclasse=7&amp;secao=P" TargetMode="External"/><Relationship Id="rId20" Type="http://schemas.openxmlformats.org/officeDocument/2006/relationships/hyperlink" Target="https://concla.ibge.gov.br/busca-online-cnae.html?view=secao&amp;tipo=cnae&amp;versaosubclasse=10&amp;versaoclasse=7&amp;secao=T" TargetMode="External"/><Relationship Id="rId1" Type="http://schemas.openxmlformats.org/officeDocument/2006/relationships/hyperlink" Target="https://concla.ibge.gov.br/busca-online-cnae.html?view=secao&amp;tipo=cnae&amp;versaosubclasse=10&amp;versaoclasse=7&amp;secao=A" TargetMode="External"/><Relationship Id="rId6" Type="http://schemas.openxmlformats.org/officeDocument/2006/relationships/hyperlink" Target="https://concla.ibge.gov.br/busca-online-cnae.html?view=secao&amp;tipo=cnae&amp;versaosubclasse=10&amp;versaoclasse=7&amp;secao=F" TargetMode="External"/><Relationship Id="rId11" Type="http://schemas.openxmlformats.org/officeDocument/2006/relationships/hyperlink" Target="https://concla.ibge.gov.br/busca-online-cnae.html?view=secao&amp;tipo=cnae&amp;versaosubclasse=10&amp;versaoclasse=7&amp;secao=K" TargetMode="External"/><Relationship Id="rId5" Type="http://schemas.openxmlformats.org/officeDocument/2006/relationships/hyperlink" Target="https://concla.ibge.gov.br/busca-online-cnae.html?view=secao&amp;tipo=cnae&amp;versaosubclasse=10&amp;versaoclasse=7&amp;secao=E" TargetMode="External"/><Relationship Id="rId15" Type="http://schemas.openxmlformats.org/officeDocument/2006/relationships/hyperlink" Target="https://concla.ibge.gov.br/busca-online-cnae.html?view=secao&amp;tipo=cnae&amp;versaosubclasse=10&amp;versaoclasse=7&amp;secao=O" TargetMode="External"/><Relationship Id="rId23" Type="http://schemas.openxmlformats.org/officeDocument/2006/relationships/drawing" Target="../drawings/drawing1.xml"/><Relationship Id="rId10" Type="http://schemas.openxmlformats.org/officeDocument/2006/relationships/hyperlink" Target="https://concla.ibge.gov.br/busca-online-cnae.html?view=secao&amp;tipo=cnae&amp;versaosubclasse=10&amp;versaoclasse=7&amp;secao=J" TargetMode="External"/><Relationship Id="rId19" Type="http://schemas.openxmlformats.org/officeDocument/2006/relationships/hyperlink" Target="https://concla.ibge.gov.br/busca-online-cnae.html?view=secao&amp;tipo=cnae&amp;versaosubclasse=10&amp;versaoclasse=7&amp;secao=S" TargetMode="External"/><Relationship Id="rId4" Type="http://schemas.openxmlformats.org/officeDocument/2006/relationships/hyperlink" Target="https://concla.ibge.gov.br/busca-online-cnae.html?view=secao&amp;tipo=cnae&amp;versaosubclasse=10&amp;versaoclasse=7&amp;secao=D" TargetMode="External"/><Relationship Id="rId9" Type="http://schemas.openxmlformats.org/officeDocument/2006/relationships/hyperlink" Target="https://concla.ibge.gov.br/busca-online-cnae.html?view=secao&amp;tipo=cnae&amp;versaosubclasse=10&amp;versaoclasse=7&amp;secao=I" TargetMode="External"/><Relationship Id="rId14" Type="http://schemas.openxmlformats.org/officeDocument/2006/relationships/hyperlink" Target="https://concla.ibge.gov.br/busca-online-cnae.html?view=secao&amp;tipo=cnae&amp;versaosubclasse=10&amp;versaoclasse=7&amp;secao=N"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br/pgfn/pt-br/assuntos/divida-ativa-da-uniao/painel-dos-parcelamentos/termos-de-transacao/termo-de-transacao-individual-diniz-engenharia" TargetMode="External"/><Relationship Id="rId13" Type="http://schemas.openxmlformats.org/officeDocument/2006/relationships/hyperlink" Target="https://www.gov.br/pgfn/pt-br/assuntos/divida-ativa-da-uniao/painel-dos-parcelamentos/termos-de-transacao/termo-de-transacao-individual-do-grupo-araujo" TargetMode="External"/><Relationship Id="rId18" Type="http://schemas.openxmlformats.org/officeDocument/2006/relationships/hyperlink" Target="https://www.gov.br/pgfn/pt-br/assuntos/divida-ativa-da-uniao/painel-dos-parcelamentos/termos-de-transacao/termo-de-transacao-individual_servi-san.pdf" TargetMode="External"/><Relationship Id="rId26" Type="http://schemas.openxmlformats.org/officeDocument/2006/relationships/hyperlink" Target="https://www.gov.br/pgfn/pt-br/assuntos/divida-ativa-da-uniao/painel-dos-parcelamentos/termos-de-transacao/termo-transacao-individual_-ello.pdf" TargetMode="External"/><Relationship Id="rId3" Type="http://schemas.openxmlformats.org/officeDocument/2006/relationships/hyperlink" Target="https://www.gov.br/pgfn/pt-br/assuntos/divida-ativa-da-uniao/painel-dos-parcelamentos/termos-de-transacao/termo-transacao-individual-unimed-petropolis.pdf" TargetMode="External"/><Relationship Id="rId21" Type="http://schemas.openxmlformats.org/officeDocument/2006/relationships/hyperlink" Target="https://www.gov.br/pgfn/pt-br/assuntos/divida-ativa-da-uniao/painel-dos-parcelamentos/termos-de-transacao/termo-de-transacao-individual-boa-viagem-negocios-imobiliarios-ltda" TargetMode="External"/><Relationship Id="rId7" Type="http://schemas.openxmlformats.org/officeDocument/2006/relationships/hyperlink" Target="https://www.gov.br/pgfn/pt-br/assuntos/divida-ativa-da-uniao/painel-dos-parcelamentos/termos-de-transacao/termo-de-transacao-individual_cantareira-construcoes-e-empreendimentos.pdf" TargetMode="External"/><Relationship Id="rId12" Type="http://schemas.openxmlformats.org/officeDocument/2006/relationships/hyperlink" Target="https://www.gov.br/pgfn/pt-br/assuntos/divida-ativa-da-uniao/painel-dos-parcelamentos/termos-de-transacao/termo-de-transacao-individual-grupo-trombettas" TargetMode="External"/><Relationship Id="rId17" Type="http://schemas.openxmlformats.org/officeDocument/2006/relationships/hyperlink" Target="https://www.gov.br/pgfn/pt-br/assuntos/divida-ativa-da-uniao/painel-dos-parcelamentos/termos-de-transacao/termo-de-transacao-individual-ag-resinas-inf-suprimidas.pdf" TargetMode="External"/><Relationship Id="rId25" Type="http://schemas.openxmlformats.org/officeDocument/2006/relationships/hyperlink" Target="https://www.gov.br/pgfn/pt-br/assuntos/divida-ativa-da-uniao/painel-dos-parcelamentos/termos-de-transacao/termo-de-transacao-individual_bonanza.pdf" TargetMode="External"/><Relationship Id="rId2" Type="http://schemas.openxmlformats.org/officeDocument/2006/relationships/hyperlink" Target="https://www.gov.br/pgfn/pt-br/assuntos/divida-ativa-da-uniao/painel-dos-parcelamentos/termos-de-transacao/termo-de-transacao-individual-sustentare-inf-suprimidas.pdf" TargetMode="External"/><Relationship Id="rId16" Type="http://schemas.openxmlformats.org/officeDocument/2006/relationships/hyperlink" Target="https://www.gov.br/pgfn/pt-br/assuntos/divida-ativa-da-uniao/painel-dos-parcelamentos/termos-de-transacao/termo-de-transacao-individual-jose-fornieles-inf-suprimidas.pdf" TargetMode="External"/><Relationship Id="rId20" Type="http://schemas.openxmlformats.org/officeDocument/2006/relationships/hyperlink" Target="https://www.gov.br/pgfn/pt-br/assuntos/divida-ativa-da-uniao/painel-dos-parcelamentos/termos-de-transacao/termo-de-transacao-individual_ortoplan-comercio-de-implantes-ortopedicos.pdf" TargetMode="External"/><Relationship Id="rId29" Type="http://schemas.openxmlformats.org/officeDocument/2006/relationships/vmlDrawing" Target="../drawings/vmlDrawing1.vml"/><Relationship Id="rId1" Type="http://schemas.openxmlformats.org/officeDocument/2006/relationships/hyperlink" Target="https://www.gov.br/pgfn/pt-br/assuntos/divida-ativa-da-uniao/painel-dos-parcelamentos/termos-de-transacao/termo-de-transacao-individual-royal-fic-distribuidora.pdf" TargetMode="External"/><Relationship Id="rId6" Type="http://schemas.openxmlformats.org/officeDocument/2006/relationships/hyperlink" Target="https://www.gov.br/pgfn/pt-br/assuntos/divida-ativa-da-uniao/painel-dos-parcelamentos/termos-de-transacao/termo-de-transacao_telos-sa-equipamentos.pdf" TargetMode="External"/><Relationship Id="rId11" Type="http://schemas.openxmlformats.org/officeDocument/2006/relationships/hyperlink" Target="https://www.gov.br/pgfn/pt-br/assuntos/divida-ativa-da-uniao/painel-dos-parcelamentos/termos-de-transacao/termo-de-transacao-individual-municipio-de-patos-inf-suprimidas.pdf" TargetMode="External"/><Relationship Id="rId24" Type="http://schemas.openxmlformats.org/officeDocument/2006/relationships/hyperlink" Target="https://www.gov.br/pgfn/pt-br/assuntos/divida-ativa-da-uniao/painel-dos-parcelamentos/termos-de-transacao/termo-de-transacao-individual-porto-do-recife-s-a" TargetMode="External"/><Relationship Id="rId5" Type="http://schemas.openxmlformats.org/officeDocument/2006/relationships/hyperlink" Target="https://www.gov.br/pgfn/pt-br/assuntos/divida-ativa-da-uniao/painel-dos-parcelamentos/termos-de-transacao/termo-de-transacao-individual_massa-falida-emilio-romani.pdf" TargetMode="External"/><Relationship Id="rId15" Type="http://schemas.openxmlformats.org/officeDocument/2006/relationships/hyperlink" Target="https://www.gov.br/pgfn/pt-br/assuntos/divida-ativa-da-uniao/painel-dos-parcelamentos/termos-de-transacao/termo-de-transacao-individual-cruzeiro-esporte-clube" TargetMode="External"/><Relationship Id="rId23" Type="http://schemas.openxmlformats.org/officeDocument/2006/relationships/hyperlink" Target="https://www.gov.br/pgfn/pt-br/assuntos/divida-ativa-da-uniao/painel-dos-parcelamentos/termos-de-transacao/termo-de-transacao-individual-jetlog" TargetMode="External"/><Relationship Id="rId28" Type="http://schemas.openxmlformats.org/officeDocument/2006/relationships/printerSettings" Target="../printerSettings/printerSettings2.bin"/><Relationship Id="rId10" Type="http://schemas.openxmlformats.org/officeDocument/2006/relationships/hyperlink" Target="https://www.gov.br/pgfn/pt-br/assuntos/divida-ativa-da-uniao/painel-dos-parcelamentos/termos-de-transacao/termo-de-transacao-individual-massa-f-cidos-ernesto-deocleciano-inf-suprimidas.pdf" TargetMode="External"/><Relationship Id="rId19" Type="http://schemas.openxmlformats.org/officeDocument/2006/relationships/hyperlink" Target="https://www.gov.br/pgfn/pt-br/assuntos/divida-ativa-da-uniao/painel-dos-parcelamentos/termos-de-transacao/termo-de-transacao-individual-grupo-galois.pdf" TargetMode="External"/><Relationship Id="rId31" Type="http://schemas.microsoft.com/office/2017/10/relationships/threadedComment" Target="../threadedComments/threadedComment1.xml"/><Relationship Id="rId4" Type="http://schemas.openxmlformats.org/officeDocument/2006/relationships/hyperlink" Target="https://www.gov.br/pgfn/pt-br/assuntos/divida-ativa-da-uniao/painel-dos-parcelamentos/termos-de-transacao/termo-de-transacao-individual-norte-buss-transportes-s-a-inf-suprimidas.pdf" TargetMode="External"/><Relationship Id="rId9" Type="http://schemas.openxmlformats.org/officeDocument/2006/relationships/hyperlink" Target="https://www.gov.br/pgfn/pt-br/assuntos/divida-ativa-da-uniao/painel-dos-parcelamentos/termos-de-transacao/termo-de-transacao-individual-fazenda-milano-sa-e-outros-inf-suprimidas.pdf" TargetMode="External"/><Relationship Id="rId14" Type="http://schemas.openxmlformats.org/officeDocument/2006/relationships/hyperlink" Target="https://www.gov.br/pgfn/pt-br/assuntos/divida-ativa-da-uniao/painel-dos-parcelamentos/termos-de-transacao/termo-de-transacao-individual-gran-concursos" TargetMode="External"/><Relationship Id="rId22" Type="http://schemas.openxmlformats.org/officeDocument/2006/relationships/hyperlink" Target="https://www.gov.br/pgfn/pt-br/assuntos/divida-ativa-da-uniao/painel-dos-parcelamentos/termos-de-transacao/termo-de-transacao-individual-centro-educacional-do-nordeste-ltda" TargetMode="External"/><Relationship Id="rId27" Type="http://schemas.openxmlformats.org/officeDocument/2006/relationships/hyperlink" Target="https://www.gov.br/pgfn/pt-br/assuntos/divida-ativa-da-uniao/painel-dos-parcelamentos/termos-de-transacao/termo-de-transacao-individual-grupo-galois.pdf" TargetMode="Externa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concla.ibge.gov.br/busca-online-cnae.html?view=secao&amp;tipo=cnae&amp;versaosubclasse=10&amp;versaoclasse=7&amp;secao=H" TargetMode="External"/><Relationship Id="rId13" Type="http://schemas.openxmlformats.org/officeDocument/2006/relationships/hyperlink" Target="https://concla.ibge.gov.br/busca-online-cnae.html?view=secao&amp;tipo=cnae&amp;versaosubclasse=10&amp;versaoclasse=7&amp;secao=M" TargetMode="External"/><Relationship Id="rId18" Type="http://schemas.openxmlformats.org/officeDocument/2006/relationships/hyperlink" Target="https://concla.ibge.gov.br/busca-online-cnae.html?view=secao&amp;tipo=cnae&amp;versaosubclasse=10&amp;versaoclasse=7&amp;secao=R" TargetMode="External"/><Relationship Id="rId3" Type="http://schemas.openxmlformats.org/officeDocument/2006/relationships/hyperlink" Target="https://concla.ibge.gov.br/busca-online-cnae.html?view=secao&amp;tipo=cnae&amp;versaosubclasse=10&amp;versaoclasse=7&amp;secao=C" TargetMode="External"/><Relationship Id="rId21" Type="http://schemas.openxmlformats.org/officeDocument/2006/relationships/hyperlink" Target="https://concla.ibge.gov.br/busca-online-cnae.html?view=secao&amp;tipo=cnae&amp;versaosubclasse=10&amp;versaoclasse=7&amp;secao=U" TargetMode="External"/><Relationship Id="rId7" Type="http://schemas.openxmlformats.org/officeDocument/2006/relationships/hyperlink" Target="https://concla.ibge.gov.br/busca-online-cnae.html?view=secao&amp;tipo=cnae&amp;versaosubclasse=10&amp;versaoclasse=7&amp;secao=G" TargetMode="External"/><Relationship Id="rId12" Type="http://schemas.openxmlformats.org/officeDocument/2006/relationships/hyperlink" Target="https://concla.ibge.gov.br/busca-online-cnae.html?view=secao&amp;tipo=cnae&amp;versaosubclasse=10&amp;versaoclasse=7&amp;secao=L" TargetMode="External"/><Relationship Id="rId17" Type="http://schemas.openxmlformats.org/officeDocument/2006/relationships/hyperlink" Target="https://concla.ibge.gov.br/busca-online-cnae.html?view=secao&amp;tipo=cnae&amp;versaosubclasse=10&amp;versaoclasse=7&amp;secao=Q" TargetMode="External"/><Relationship Id="rId2" Type="http://schemas.openxmlformats.org/officeDocument/2006/relationships/hyperlink" Target="https://concla.ibge.gov.br/busca-online-cnae.html?view=secao&amp;tipo=cnae&amp;versaosubclasse=10&amp;versaoclasse=7&amp;secao=B" TargetMode="External"/><Relationship Id="rId16" Type="http://schemas.openxmlformats.org/officeDocument/2006/relationships/hyperlink" Target="https://concla.ibge.gov.br/busca-online-cnae.html?view=secao&amp;tipo=cnae&amp;versaosubclasse=10&amp;versaoclasse=7&amp;secao=P" TargetMode="External"/><Relationship Id="rId20" Type="http://schemas.openxmlformats.org/officeDocument/2006/relationships/hyperlink" Target="https://concla.ibge.gov.br/busca-online-cnae.html?view=secao&amp;tipo=cnae&amp;versaosubclasse=10&amp;versaoclasse=7&amp;secao=T" TargetMode="External"/><Relationship Id="rId1" Type="http://schemas.openxmlformats.org/officeDocument/2006/relationships/hyperlink" Target="https://concla.ibge.gov.br/busca-online-cnae.html?view=secao&amp;tipo=cnae&amp;versaosubclasse=10&amp;versaoclasse=7&amp;secao=A" TargetMode="External"/><Relationship Id="rId6" Type="http://schemas.openxmlformats.org/officeDocument/2006/relationships/hyperlink" Target="https://concla.ibge.gov.br/busca-online-cnae.html?view=secao&amp;tipo=cnae&amp;versaosubclasse=10&amp;versaoclasse=7&amp;secao=F" TargetMode="External"/><Relationship Id="rId11" Type="http://schemas.openxmlformats.org/officeDocument/2006/relationships/hyperlink" Target="https://concla.ibge.gov.br/busca-online-cnae.html?view=secao&amp;tipo=cnae&amp;versaosubclasse=10&amp;versaoclasse=7&amp;secao=K" TargetMode="External"/><Relationship Id="rId5" Type="http://schemas.openxmlformats.org/officeDocument/2006/relationships/hyperlink" Target="https://concla.ibge.gov.br/busca-online-cnae.html?view=secao&amp;tipo=cnae&amp;versaosubclasse=10&amp;versaoclasse=7&amp;secao=E" TargetMode="External"/><Relationship Id="rId15" Type="http://schemas.openxmlformats.org/officeDocument/2006/relationships/hyperlink" Target="https://concla.ibge.gov.br/busca-online-cnae.html?view=secao&amp;tipo=cnae&amp;versaosubclasse=10&amp;versaoclasse=7&amp;secao=O" TargetMode="External"/><Relationship Id="rId10" Type="http://schemas.openxmlformats.org/officeDocument/2006/relationships/hyperlink" Target="https://concla.ibge.gov.br/busca-online-cnae.html?view=secao&amp;tipo=cnae&amp;versaosubclasse=10&amp;versaoclasse=7&amp;secao=J" TargetMode="External"/><Relationship Id="rId19" Type="http://schemas.openxmlformats.org/officeDocument/2006/relationships/hyperlink" Target="https://concla.ibge.gov.br/busca-online-cnae.html?view=secao&amp;tipo=cnae&amp;versaosubclasse=10&amp;versaoclasse=7&amp;secao=S" TargetMode="External"/><Relationship Id="rId4" Type="http://schemas.openxmlformats.org/officeDocument/2006/relationships/hyperlink" Target="https://concla.ibge.gov.br/busca-online-cnae.html?view=secao&amp;tipo=cnae&amp;versaosubclasse=10&amp;versaoclasse=7&amp;secao=D" TargetMode="External"/><Relationship Id="rId9" Type="http://schemas.openxmlformats.org/officeDocument/2006/relationships/hyperlink" Target="https://concla.ibge.gov.br/busca-online-cnae.html?view=secao&amp;tipo=cnae&amp;versaosubclasse=10&amp;versaoclasse=7&amp;secao=I" TargetMode="External"/><Relationship Id="rId14" Type="http://schemas.openxmlformats.org/officeDocument/2006/relationships/hyperlink" Target="https://concla.ibge.gov.br/busca-online-cnae.html?view=secao&amp;tipo=cnae&amp;versaosubclasse=10&amp;versaoclasse=7&amp;seca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656E-3394-40C3-8712-3908D5CC7719}">
  <dimension ref="A1:K104"/>
  <sheetViews>
    <sheetView topLeftCell="A68" zoomScale="85" zoomScaleNormal="85" workbookViewId="0">
      <selection activeCell="D65" sqref="D65"/>
    </sheetView>
  </sheetViews>
  <sheetFormatPr defaultRowHeight="15" x14ac:dyDescent="0.25"/>
  <cols>
    <col min="1" max="1" width="63.85546875" style="7" customWidth="1"/>
    <col min="2" max="2" width="53.28515625" style="7" customWidth="1"/>
    <col min="3" max="3" width="22.42578125" style="7" customWidth="1"/>
    <col min="4" max="4" width="19.5703125" style="7" bestFit="1" customWidth="1"/>
    <col min="5" max="16384" width="9.140625" style="7"/>
  </cols>
  <sheetData>
    <row r="1" spans="1:10" ht="58.5" customHeight="1" x14ac:dyDescent="0.25"/>
    <row r="2" spans="1:10" ht="18" customHeight="1" x14ac:dyDescent="0.25">
      <c r="A2" s="11" t="s">
        <v>209</v>
      </c>
    </row>
    <row r="3" spans="1:10" ht="24" customHeight="1" x14ac:dyDescent="0.25">
      <c r="A3" s="2" t="s">
        <v>218</v>
      </c>
      <c r="B3" s="2" t="s">
        <v>228</v>
      </c>
      <c r="C3" s="2" t="s">
        <v>22</v>
      </c>
      <c r="D3" s="2" t="s">
        <v>219</v>
      </c>
    </row>
    <row r="4" spans="1:10" ht="18" customHeight="1" x14ac:dyDescent="0.25">
      <c r="A4" s="5" t="s">
        <v>220</v>
      </c>
      <c r="B4" s="1">
        <v>9</v>
      </c>
      <c r="C4" s="13">
        <f>B4/$B$8</f>
        <v>0.33333333333333331</v>
      </c>
      <c r="D4" s="13" t="s">
        <v>17</v>
      </c>
    </row>
    <row r="5" spans="1:10" ht="18" customHeight="1" x14ac:dyDescent="0.25">
      <c r="A5" s="5" t="s">
        <v>221</v>
      </c>
      <c r="B5" s="1">
        <v>18</v>
      </c>
      <c r="C5" s="13">
        <f>B5/$B$8</f>
        <v>0.66666666666666663</v>
      </c>
      <c r="D5" s="13">
        <f>B5*100%/9</f>
        <v>2</v>
      </c>
      <c r="H5" s="34"/>
    </row>
    <row r="6" spans="1:10" ht="18" customHeight="1" x14ac:dyDescent="0.25">
      <c r="A6" s="8"/>
      <c r="B6" s="32">
        <f>SUM(B4:B5)</f>
        <v>27</v>
      </c>
      <c r="C6" s="33">
        <f>SUM(C4:C5)</f>
        <v>1</v>
      </c>
      <c r="D6" s="33"/>
      <c r="H6" s="35"/>
    </row>
    <row r="8" spans="1:10" x14ac:dyDescent="0.25">
      <c r="A8" s="2" t="s">
        <v>25</v>
      </c>
      <c r="B8" s="2">
        <f>B4+B5</f>
        <v>27</v>
      </c>
      <c r="C8" s="2" t="s">
        <v>22</v>
      </c>
    </row>
    <row r="9" spans="1:10" x14ac:dyDescent="0.25">
      <c r="A9" s="5" t="s">
        <v>26</v>
      </c>
      <c r="B9" s="1">
        <f>COUNTIF('Transações Tributárias'!C2:C28,"1ª")</f>
        <v>9</v>
      </c>
      <c r="C9" s="13">
        <f>B9/$B$8</f>
        <v>0.33333333333333331</v>
      </c>
    </row>
    <row r="10" spans="1:10" x14ac:dyDescent="0.25">
      <c r="A10" s="5" t="s">
        <v>27</v>
      </c>
      <c r="B10" s="1">
        <f>COUNTIF('Transações Tributárias'!C2:C28,"2ª")</f>
        <v>1</v>
      </c>
      <c r="C10" s="13">
        <f t="shared" ref="C10:C13" si="0">B10/$B$8</f>
        <v>3.7037037037037035E-2</v>
      </c>
    </row>
    <row r="11" spans="1:10" x14ac:dyDescent="0.25">
      <c r="A11" s="5" t="s">
        <v>28</v>
      </c>
      <c r="B11" s="1">
        <f>COUNTIF('Transações Tributárias'!C2:C28,"3ª")</f>
        <v>4</v>
      </c>
      <c r="C11" s="13">
        <f t="shared" si="0"/>
        <v>0.14814814814814814</v>
      </c>
    </row>
    <row r="12" spans="1:10" x14ac:dyDescent="0.25">
      <c r="A12" s="5" t="s">
        <v>29</v>
      </c>
      <c r="B12" s="1">
        <f>COUNTIF('Transações Tributárias'!C2:C28,"4ª")</f>
        <v>3</v>
      </c>
      <c r="C12" s="13">
        <f t="shared" si="0"/>
        <v>0.1111111111111111</v>
      </c>
    </row>
    <row r="13" spans="1:10" x14ac:dyDescent="0.25">
      <c r="A13" s="5" t="s">
        <v>30</v>
      </c>
      <c r="B13" s="1">
        <f>COUNTIF('Transações Tributárias'!C2:C28,"5ª")</f>
        <v>10</v>
      </c>
      <c r="C13" s="13">
        <f t="shared" si="0"/>
        <v>0.37037037037037035</v>
      </c>
      <c r="J13"/>
    </row>
    <row r="14" spans="1:10" x14ac:dyDescent="0.25">
      <c r="A14" s="8"/>
      <c r="B14" s="32">
        <f>SUM(B9:B13)</f>
        <v>27</v>
      </c>
      <c r="C14" s="33">
        <f>SUM(C9:C13)</f>
        <v>0.99999999999999989</v>
      </c>
    </row>
    <row r="16" spans="1:10" x14ac:dyDescent="0.25">
      <c r="A16" s="2" t="s">
        <v>166</v>
      </c>
      <c r="B16" s="2">
        <f>B8</f>
        <v>27</v>
      </c>
      <c r="C16" s="2" t="s">
        <v>22</v>
      </c>
    </row>
    <row r="17" spans="1:11" x14ac:dyDescent="0.25">
      <c r="A17" s="5" t="s">
        <v>31</v>
      </c>
      <c r="B17" s="1">
        <f>COUNTIF('Transações Tributárias'!G2:G28,"PF")</f>
        <v>1</v>
      </c>
      <c r="C17" s="13">
        <f>B17/$B$16</f>
        <v>3.7037037037037035E-2</v>
      </c>
    </row>
    <row r="18" spans="1:11" x14ac:dyDescent="0.25">
      <c r="A18" s="5" t="s">
        <v>54</v>
      </c>
      <c r="B18" s="1">
        <f>COUNTIF('Transações Tributárias'!G2:G28,"PF/PJ")</f>
        <v>4</v>
      </c>
      <c r="C18" s="13">
        <f t="shared" ref="C18:C19" si="1">B18/$B$16</f>
        <v>0.14814814814814814</v>
      </c>
    </row>
    <row r="19" spans="1:11" x14ac:dyDescent="0.25">
      <c r="A19" s="5" t="s">
        <v>32</v>
      </c>
      <c r="B19" s="1">
        <f>COUNTIF('Transações Tributárias'!G2:G28,"PJ")</f>
        <v>22</v>
      </c>
      <c r="C19" s="13">
        <f t="shared" si="1"/>
        <v>0.81481481481481477</v>
      </c>
    </row>
    <row r="20" spans="1:11" x14ac:dyDescent="0.25">
      <c r="A20" s="8"/>
      <c r="B20" s="32">
        <f>SUM(B17:B19)</f>
        <v>27</v>
      </c>
      <c r="C20" s="33">
        <f>SUM(C17:C19)</f>
        <v>1</v>
      </c>
    </row>
    <row r="21" spans="1:11" x14ac:dyDescent="0.25">
      <c r="A21" s="10"/>
      <c r="B21" s="10"/>
    </row>
    <row r="22" spans="1:11" x14ac:dyDescent="0.25">
      <c r="A22" s="2" t="s">
        <v>167</v>
      </c>
      <c r="B22" s="2">
        <f>'Transações Tributárias'!E29</f>
        <v>85</v>
      </c>
      <c r="C22" s="2" t="s">
        <v>22</v>
      </c>
    </row>
    <row r="23" spans="1:11" x14ac:dyDescent="0.25">
      <c r="A23" s="5" t="s">
        <v>31</v>
      </c>
      <c r="B23" s="1">
        <v>23</v>
      </c>
      <c r="C23" s="13">
        <f>B23/$B$22</f>
        <v>0.27058823529411763</v>
      </c>
    </row>
    <row r="24" spans="1:11" x14ac:dyDescent="0.25">
      <c r="A24" s="5" t="s">
        <v>32</v>
      </c>
      <c r="B24" s="1">
        <v>62</v>
      </c>
      <c r="C24" s="13">
        <f>B24/$B$22</f>
        <v>0.72941176470588232</v>
      </c>
    </row>
    <row r="25" spans="1:11" x14ac:dyDescent="0.25">
      <c r="A25" s="8"/>
      <c r="B25" s="32">
        <f>SUM(B23:B24)</f>
        <v>85</v>
      </c>
      <c r="C25" s="33">
        <f>SUM(C23:C24)</f>
        <v>1</v>
      </c>
    </row>
    <row r="26" spans="1:11" x14ac:dyDescent="0.25">
      <c r="A26" s="10"/>
      <c r="B26" s="10"/>
    </row>
    <row r="27" spans="1:11" x14ac:dyDescent="0.25">
      <c r="A27" s="2" t="s">
        <v>168</v>
      </c>
      <c r="B27" s="2">
        <f>B16</f>
        <v>27</v>
      </c>
      <c r="C27" s="2" t="s">
        <v>22</v>
      </c>
    </row>
    <row r="28" spans="1:11" x14ac:dyDescent="0.25">
      <c r="A28" s="5" t="s">
        <v>95</v>
      </c>
      <c r="B28" s="1">
        <f>COUNTIF('Transações Tributárias'!H2:H28,"SIM")</f>
        <v>8</v>
      </c>
      <c r="C28" s="13">
        <f>B28/$B$27</f>
        <v>0.29629629629629628</v>
      </c>
    </row>
    <row r="29" spans="1:11" x14ac:dyDescent="0.25">
      <c r="A29" s="5" t="s">
        <v>91</v>
      </c>
      <c r="B29" s="1">
        <f>COUNTIF('Transações Tributárias'!H2:H28,"NÃO")</f>
        <v>19</v>
      </c>
      <c r="C29" s="13">
        <f>B29/$B$27</f>
        <v>0.70370370370370372</v>
      </c>
    </row>
    <row r="30" spans="1:11" x14ac:dyDescent="0.25">
      <c r="A30" s="8"/>
      <c r="B30" s="32">
        <f>SUM(B28:B29)</f>
        <v>27</v>
      </c>
      <c r="C30" s="33">
        <f>SUM(C28:C29)</f>
        <v>1</v>
      </c>
      <c r="K30" s="17"/>
    </row>
    <row r="31" spans="1:11" x14ac:dyDescent="0.25">
      <c r="A31" s="10"/>
      <c r="B31" s="10"/>
      <c r="K31" s="17"/>
    </row>
    <row r="32" spans="1:11" x14ac:dyDescent="0.25">
      <c r="A32" s="2" t="s">
        <v>272</v>
      </c>
      <c r="B32" s="2" t="s">
        <v>273</v>
      </c>
      <c r="C32" s="2">
        <v>27</v>
      </c>
      <c r="D32" s="2" t="s">
        <v>22</v>
      </c>
      <c r="K32" s="17"/>
    </row>
    <row r="33" spans="1:11" ht="21" x14ac:dyDescent="0.25">
      <c r="A33" s="1" t="s">
        <v>181</v>
      </c>
      <c r="B33" s="23" t="s">
        <v>231</v>
      </c>
      <c r="C33" s="1">
        <f>COUNTIF('Transações Tributárias'!$I$2:$I$28,"A")</f>
        <v>1</v>
      </c>
      <c r="D33" s="13">
        <f>C33/$C$32</f>
        <v>3.7037037037037035E-2</v>
      </c>
      <c r="K33" s="17"/>
    </row>
    <row r="34" spans="1:11" x14ac:dyDescent="0.25">
      <c r="A34" s="1" t="s">
        <v>56</v>
      </c>
      <c r="B34" s="23" t="s">
        <v>232</v>
      </c>
      <c r="C34" s="1">
        <f>COUNTIF('Transações Tributárias'!$I$2:$I$28,"B")</f>
        <v>0</v>
      </c>
      <c r="D34" s="13">
        <f t="shared" ref="D34:D57" si="2">C34/$C$32</f>
        <v>0</v>
      </c>
      <c r="K34" s="17"/>
    </row>
    <row r="35" spans="1:11" x14ac:dyDescent="0.25">
      <c r="A35" s="1" t="s">
        <v>233</v>
      </c>
      <c r="B35" s="23" t="s">
        <v>234</v>
      </c>
      <c r="C35" s="1">
        <f>COUNTIF('Transações Tributárias'!$I$2:$I$28,"C")</f>
        <v>2</v>
      </c>
      <c r="D35" s="13">
        <f t="shared" si="2"/>
        <v>7.407407407407407E-2</v>
      </c>
      <c r="K35" s="17"/>
    </row>
    <row r="36" spans="1:11" x14ac:dyDescent="0.25">
      <c r="A36" s="1" t="s">
        <v>235</v>
      </c>
      <c r="B36" s="23" t="s">
        <v>236</v>
      </c>
      <c r="C36" s="1">
        <f>COUNTIF('Transações Tributárias'!$I$2:$I$28,"D")</f>
        <v>0</v>
      </c>
      <c r="D36" s="13">
        <f t="shared" si="2"/>
        <v>0</v>
      </c>
      <c r="K36" s="17"/>
    </row>
    <row r="37" spans="1:11" ht="21" x14ac:dyDescent="0.25">
      <c r="A37" s="1" t="s">
        <v>237</v>
      </c>
      <c r="B37" s="23" t="s">
        <v>238</v>
      </c>
      <c r="C37" s="1">
        <f>COUNTIF('Transações Tributárias'!$I$2:$I$28,"E")</f>
        <v>1</v>
      </c>
      <c r="D37" s="13">
        <f t="shared" si="2"/>
        <v>3.7037037037037035E-2</v>
      </c>
      <c r="K37" s="17"/>
    </row>
    <row r="38" spans="1:11" x14ac:dyDescent="0.25">
      <c r="A38" s="1" t="s">
        <v>239</v>
      </c>
      <c r="B38" s="23" t="s">
        <v>240</v>
      </c>
      <c r="C38" s="1">
        <f>COUNTIF('Transações Tributárias'!$I$2:$I$28,"F")</f>
        <v>2</v>
      </c>
      <c r="D38" s="13">
        <f t="shared" si="2"/>
        <v>7.407407407407407E-2</v>
      </c>
      <c r="K38" s="17"/>
    </row>
    <row r="39" spans="1:11" ht="21" x14ac:dyDescent="0.25">
      <c r="A39" s="1" t="s">
        <v>241</v>
      </c>
      <c r="B39" s="23" t="s">
        <v>242</v>
      </c>
      <c r="C39" s="1">
        <f>COUNTIF('Transações Tributárias'!$I$2:$I$28,"G")</f>
        <v>4</v>
      </c>
      <c r="D39" s="13">
        <f t="shared" si="2"/>
        <v>0.14814814814814814</v>
      </c>
      <c r="K39" s="17"/>
    </row>
    <row r="40" spans="1:11" x14ac:dyDescent="0.25">
      <c r="A40" s="1" t="s">
        <v>243</v>
      </c>
      <c r="B40" s="23" t="s">
        <v>244</v>
      </c>
      <c r="C40" s="1">
        <f>COUNTIF('Transações Tributárias'!$I$2:$I$28,"H")</f>
        <v>4</v>
      </c>
      <c r="D40" s="13">
        <f t="shared" si="2"/>
        <v>0.14814814814814814</v>
      </c>
      <c r="K40" s="17"/>
    </row>
    <row r="41" spans="1:11" x14ac:dyDescent="0.25">
      <c r="A41" s="1" t="s">
        <v>245</v>
      </c>
      <c r="B41" s="23" t="s">
        <v>246</v>
      </c>
      <c r="C41" s="1">
        <f>COUNTIF('Transações Tributárias'!$I$2:$I$28,"I")</f>
        <v>0</v>
      </c>
      <c r="D41" s="13">
        <f t="shared" si="2"/>
        <v>0</v>
      </c>
      <c r="K41" s="17"/>
    </row>
    <row r="42" spans="1:11" x14ac:dyDescent="0.25">
      <c r="A42" s="1" t="s">
        <v>247</v>
      </c>
      <c r="B42" s="23" t="s">
        <v>248</v>
      </c>
      <c r="C42" s="1">
        <f>COUNTIF('Transações Tributárias'!$I$2:$I$28,"J")</f>
        <v>0</v>
      </c>
      <c r="D42" s="13">
        <f t="shared" si="2"/>
        <v>0</v>
      </c>
      <c r="K42" s="17"/>
    </row>
    <row r="43" spans="1:11" ht="21" x14ac:dyDescent="0.25">
      <c r="A43" s="1" t="s">
        <v>249</v>
      </c>
      <c r="B43" s="23" t="s">
        <v>250</v>
      </c>
      <c r="C43" s="1">
        <f>COUNTIF('Transações Tributárias'!$I$2:$I$28,"K")</f>
        <v>0</v>
      </c>
      <c r="D43" s="13">
        <f t="shared" si="2"/>
        <v>0</v>
      </c>
      <c r="K43" s="17"/>
    </row>
    <row r="44" spans="1:11" x14ac:dyDescent="0.25">
      <c r="A44" s="1" t="s">
        <v>251</v>
      </c>
      <c r="B44" s="23" t="s">
        <v>252</v>
      </c>
      <c r="C44" s="1">
        <f>COUNTIF('Transações Tributárias'!$I$2:$I$28,"L")</f>
        <v>1</v>
      </c>
      <c r="D44" s="13">
        <f t="shared" si="2"/>
        <v>3.7037037037037035E-2</v>
      </c>
      <c r="K44" s="17"/>
    </row>
    <row r="45" spans="1:11" x14ac:dyDescent="0.25">
      <c r="A45" s="1" t="s">
        <v>253</v>
      </c>
      <c r="B45" s="23" t="s">
        <v>254</v>
      </c>
      <c r="C45" s="1">
        <f>COUNTIF('Transações Tributárias'!$I$2:$I$28,"M")</f>
        <v>0</v>
      </c>
      <c r="D45" s="13">
        <f t="shared" si="2"/>
        <v>0</v>
      </c>
      <c r="K45" s="17"/>
    </row>
    <row r="46" spans="1:11" ht="21" x14ac:dyDescent="0.25">
      <c r="A46" s="1" t="s">
        <v>255</v>
      </c>
      <c r="B46" s="23" t="s">
        <v>256</v>
      </c>
      <c r="C46" s="1">
        <f>COUNTIF('Transações Tributárias'!$I$2:$I$28,"N")</f>
        <v>0</v>
      </c>
      <c r="D46" s="13">
        <f t="shared" si="2"/>
        <v>0</v>
      </c>
      <c r="K46" s="17"/>
    </row>
    <row r="47" spans="1:11" x14ac:dyDescent="0.25">
      <c r="A47" s="1" t="s">
        <v>257</v>
      </c>
      <c r="B47" s="23" t="s">
        <v>258</v>
      </c>
      <c r="C47" s="1">
        <f>COUNTIF('Transações Tributárias'!$I$2:$I$28,"O")</f>
        <v>0</v>
      </c>
      <c r="D47" s="13">
        <f t="shared" si="2"/>
        <v>0</v>
      </c>
      <c r="K47" s="17"/>
    </row>
    <row r="48" spans="1:11" x14ac:dyDescent="0.25">
      <c r="A48" s="1" t="s">
        <v>259</v>
      </c>
      <c r="B48" s="23" t="s">
        <v>260</v>
      </c>
      <c r="C48" s="1">
        <f>COUNTIF('Transações Tributárias'!$I$2:$I$28,"P")</f>
        <v>3</v>
      </c>
      <c r="D48" s="13">
        <f t="shared" si="2"/>
        <v>0.1111111111111111</v>
      </c>
      <c r="K48" s="17"/>
    </row>
    <row r="49" spans="1:11" x14ac:dyDescent="0.25">
      <c r="A49" s="1" t="s">
        <v>261</v>
      </c>
      <c r="B49" s="23" t="s">
        <v>262</v>
      </c>
      <c r="C49" s="1">
        <f>COUNTIF('Transações Tributárias'!$I$2:$I$28,"Q")</f>
        <v>1</v>
      </c>
      <c r="D49" s="13">
        <f t="shared" si="2"/>
        <v>3.7037037037037035E-2</v>
      </c>
      <c r="K49" s="17"/>
    </row>
    <row r="50" spans="1:11" x14ac:dyDescent="0.25">
      <c r="A50" s="1" t="s">
        <v>263</v>
      </c>
      <c r="B50" s="23" t="s">
        <v>264</v>
      </c>
      <c r="C50" s="1">
        <f>COUNTIF('Transações Tributárias'!$I$2:$I$28,"R")</f>
        <v>1</v>
      </c>
      <c r="D50" s="13">
        <f t="shared" si="2"/>
        <v>3.7037037037037035E-2</v>
      </c>
      <c r="K50" s="17"/>
    </row>
    <row r="51" spans="1:11" x14ac:dyDescent="0.25">
      <c r="A51" s="1" t="s">
        <v>265</v>
      </c>
      <c r="B51" s="23" t="s">
        <v>266</v>
      </c>
      <c r="C51" s="1">
        <f>COUNTIF('Transações Tributárias'!$I$2:$I$28,"S")</f>
        <v>0</v>
      </c>
      <c r="D51" s="13">
        <f t="shared" si="2"/>
        <v>0</v>
      </c>
      <c r="K51" s="17"/>
    </row>
    <row r="52" spans="1:11" x14ac:dyDescent="0.25">
      <c r="A52" s="1" t="s">
        <v>267</v>
      </c>
      <c r="B52" s="23" t="s">
        <v>268</v>
      </c>
      <c r="C52" s="1">
        <f>COUNTIF('Transações Tributárias'!$I$2:$I$28,"T")</f>
        <v>0</v>
      </c>
      <c r="D52" s="13">
        <f t="shared" si="2"/>
        <v>0</v>
      </c>
      <c r="K52" s="17"/>
    </row>
    <row r="53" spans="1:11" ht="21" x14ac:dyDescent="0.25">
      <c r="A53" s="1" t="s">
        <v>269</v>
      </c>
      <c r="B53" s="23" t="s">
        <v>270</v>
      </c>
      <c r="C53" s="1">
        <f>COUNTIF('Transações Tributárias'!$I$2:$I$28,"U")</f>
        <v>0</v>
      </c>
      <c r="D53" s="13">
        <f t="shared" si="2"/>
        <v>0</v>
      </c>
      <c r="K53" s="17"/>
    </row>
    <row r="54" spans="1:11" x14ac:dyDescent="0.25">
      <c r="A54" s="1" t="s">
        <v>64</v>
      </c>
      <c r="B54" s="23"/>
      <c r="C54" s="1">
        <f>COUNTIF('Transações Tributárias'!$I$2:$I$28,"Massa Falida")</f>
        <v>3</v>
      </c>
      <c r="D54" s="13">
        <f t="shared" si="2"/>
        <v>0.1111111111111111</v>
      </c>
      <c r="K54" s="46"/>
    </row>
    <row r="55" spans="1:11" x14ac:dyDescent="0.25">
      <c r="A55" s="1" t="s">
        <v>19</v>
      </c>
      <c r="B55" s="1"/>
      <c r="C55" s="1">
        <f>COUNTIF('Transações Tributárias'!$I$2:$I$28,"Ente Público")</f>
        <v>1</v>
      </c>
      <c r="D55" s="13">
        <f t="shared" si="2"/>
        <v>3.7037037037037035E-2</v>
      </c>
    </row>
    <row r="56" spans="1:11" x14ac:dyDescent="0.25">
      <c r="A56" s="1" t="s">
        <v>202</v>
      </c>
      <c r="B56" s="1"/>
      <c r="C56" s="1">
        <f>COUNTIF('Transações Tributárias'!$I$2:$I$28,"Diversos")</f>
        <v>2</v>
      </c>
      <c r="D56" s="13">
        <f t="shared" si="2"/>
        <v>7.407407407407407E-2</v>
      </c>
    </row>
    <row r="57" spans="1:11" x14ac:dyDescent="0.25">
      <c r="A57" s="1" t="s">
        <v>31</v>
      </c>
      <c r="B57" s="1"/>
      <c r="C57" s="1">
        <f>COUNTIF('Transações Tributárias'!$I$2:$I$28,"Pessoa Física")</f>
        <v>1</v>
      </c>
      <c r="D57" s="13">
        <f t="shared" si="2"/>
        <v>3.7037037037037035E-2</v>
      </c>
    </row>
    <row r="58" spans="1:11" x14ac:dyDescent="0.25">
      <c r="A58" s="8"/>
      <c r="B58" s="32"/>
      <c r="C58" s="32">
        <f>SUM(C33:C57)</f>
        <v>27</v>
      </c>
      <c r="D58" s="33">
        <f>SUM(D33:D57)</f>
        <v>1</v>
      </c>
    </row>
    <row r="59" spans="1:11" x14ac:dyDescent="0.25">
      <c r="A59" s="10"/>
      <c r="B59" s="10"/>
      <c r="C59" s="10"/>
    </row>
    <row r="60" spans="1:11" x14ac:dyDescent="0.25">
      <c r="A60" s="2" t="s">
        <v>177</v>
      </c>
      <c r="B60" s="9" t="s">
        <v>170</v>
      </c>
      <c r="C60" s="2" t="s">
        <v>22</v>
      </c>
    </row>
    <row r="61" spans="1:11" x14ac:dyDescent="0.25">
      <c r="A61" s="1" t="s">
        <v>171</v>
      </c>
      <c r="B61" s="6">
        <v>0</v>
      </c>
      <c r="C61" s="13">
        <f>B61/$B$65</f>
        <v>0</v>
      </c>
    </row>
    <row r="62" spans="1:11" x14ac:dyDescent="0.25">
      <c r="A62" s="1" t="s">
        <v>172</v>
      </c>
      <c r="B62" s="6">
        <v>0</v>
      </c>
      <c r="C62" s="13">
        <f t="shared" ref="C62:C65" si="3">B62/$B$65</f>
        <v>0</v>
      </c>
    </row>
    <row r="63" spans="1:11" x14ac:dyDescent="0.25">
      <c r="A63" s="1" t="s">
        <v>173</v>
      </c>
      <c r="B63" s="6">
        <v>0</v>
      </c>
      <c r="C63" s="13">
        <f t="shared" si="3"/>
        <v>0</v>
      </c>
    </row>
    <row r="64" spans="1:11" x14ac:dyDescent="0.25">
      <c r="A64" s="1" t="s">
        <v>174</v>
      </c>
      <c r="B64" s="6">
        <v>0</v>
      </c>
      <c r="C64" s="13">
        <f t="shared" si="3"/>
        <v>0</v>
      </c>
    </row>
    <row r="65" spans="1:6" x14ac:dyDescent="0.25">
      <c r="A65" s="1" t="s">
        <v>175</v>
      </c>
      <c r="B65" s="6">
        <f>'Transações Tributárias'!L29</f>
        <v>1475922398.7452383</v>
      </c>
      <c r="C65" s="13">
        <f t="shared" si="3"/>
        <v>1</v>
      </c>
      <c r="D65" s="47"/>
    </row>
    <row r="66" spans="1:6" x14ac:dyDescent="0.25">
      <c r="A66" s="8"/>
      <c r="B66" s="8"/>
      <c r="C66" s="8"/>
    </row>
    <row r="67" spans="1:6" x14ac:dyDescent="0.25">
      <c r="A67" s="10"/>
      <c r="B67" s="10"/>
      <c r="C67" s="10"/>
    </row>
    <row r="68" spans="1:6" x14ac:dyDescent="0.25">
      <c r="A68" s="2" t="s">
        <v>176</v>
      </c>
      <c r="B68" s="9" t="s">
        <v>170</v>
      </c>
      <c r="C68" s="2" t="s">
        <v>22</v>
      </c>
    </row>
    <row r="69" spans="1:6" x14ac:dyDescent="0.25">
      <c r="A69" s="1" t="s">
        <v>171</v>
      </c>
      <c r="B69" s="6">
        <f>'Transações Tributárias'!T29</f>
        <v>475624003.06</v>
      </c>
      <c r="C69" s="13">
        <f>B69/$B$73</f>
        <v>0.53720721359161538</v>
      </c>
    </row>
    <row r="70" spans="1:6" x14ac:dyDescent="0.25">
      <c r="A70" s="1" t="s">
        <v>172</v>
      </c>
      <c r="B70" s="6">
        <f>'Transações Tributárias'!U29</f>
        <v>153167556.08400002</v>
      </c>
      <c r="C70" s="13">
        <f t="shared" ref="C70:C73" si="4">B70/$B$73</f>
        <v>0.17299950273145309</v>
      </c>
    </row>
    <row r="71" spans="1:6" x14ac:dyDescent="0.25">
      <c r="A71" s="1" t="s">
        <v>173</v>
      </c>
      <c r="B71" s="6">
        <f>'Transações Tributárias'!V29</f>
        <v>201270595.82599992</v>
      </c>
      <c r="C71" s="13">
        <f t="shared" si="4"/>
        <v>0.22733086485538403</v>
      </c>
    </row>
    <row r="72" spans="1:6" x14ac:dyDescent="0.25">
      <c r="A72" s="1" t="s">
        <v>174</v>
      </c>
      <c r="B72" s="6">
        <f>'Transações Tributárias'!W29</f>
        <v>55301985.768380173</v>
      </c>
      <c r="C72" s="13">
        <f t="shared" si="4"/>
        <v>6.246241882154744E-2</v>
      </c>
    </row>
    <row r="73" spans="1:6" x14ac:dyDescent="0.25">
      <c r="A73" s="1" t="s">
        <v>175</v>
      </c>
      <c r="B73" s="6">
        <f>SUM(B69:B72)</f>
        <v>885364140.73838019</v>
      </c>
      <c r="C73" s="13">
        <f t="shared" si="4"/>
        <v>1</v>
      </c>
      <c r="D73" s="7" t="s">
        <v>181</v>
      </c>
    </row>
    <row r="74" spans="1:6" x14ac:dyDescent="0.25">
      <c r="A74" s="10"/>
      <c r="B74" s="10"/>
    </row>
    <row r="75" spans="1:6" x14ac:dyDescent="0.25">
      <c r="A75" s="2" t="s">
        <v>33</v>
      </c>
      <c r="B75" s="9">
        <f>'Transações Tributárias'!R29</f>
        <v>521319960.43171811</v>
      </c>
      <c r="C75" s="2" t="s">
        <v>180</v>
      </c>
      <c r="F75" s="7" t="s">
        <v>182</v>
      </c>
    </row>
    <row r="76" spans="1:6" ht="23.25" customHeight="1" x14ac:dyDescent="0.25">
      <c r="A76" s="2" t="s">
        <v>34</v>
      </c>
      <c r="B76" s="9">
        <f>'Transações Tributárias'!Q29</f>
        <v>822816117.31352007</v>
      </c>
      <c r="C76" s="2" t="s">
        <v>180</v>
      </c>
      <c r="D76" s="7" t="s">
        <v>56</v>
      </c>
    </row>
    <row r="77" spans="1:6" x14ac:dyDescent="0.25">
      <c r="A77" s="8"/>
      <c r="B77" s="8"/>
      <c r="C77" s="8"/>
    </row>
    <row r="79" spans="1:6" ht="20.100000000000001" customHeight="1" x14ac:dyDescent="0.25">
      <c r="A79" s="2" t="s">
        <v>185</v>
      </c>
      <c r="B79" s="12">
        <f>'Transações Tributárias'!X30</f>
        <v>36.888888888888886</v>
      </c>
      <c r="C79" s="20"/>
    </row>
    <row r="80" spans="1:6" ht="20.100000000000001" customHeight="1" x14ac:dyDescent="0.25">
      <c r="A80" s="2" t="s">
        <v>186</v>
      </c>
      <c r="B80" s="12">
        <f>'Transações Tributárias'!Y30</f>
        <v>70.962962962962962</v>
      </c>
      <c r="C80" s="20"/>
    </row>
    <row r="81" spans="1:3" ht="20.100000000000001" customHeight="1" x14ac:dyDescent="0.25">
      <c r="A81" s="2" t="s">
        <v>178</v>
      </c>
      <c r="B81" s="9">
        <f>'Transações Tributárias'!R21</f>
        <v>155747628.36000001</v>
      </c>
      <c r="C81" s="21"/>
    </row>
    <row r="82" spans="1:3" ht="20.100000000000001" customHeight="1" x14ac:dyDescent="0.25">
      <c r="A82" s="2" t="s">
        <v>179</v>
      </c>
      <c r="B82" s="9">
        <f>'Transações Tributárias'!R11</f>
        <v>89024.55</v>
      </c>
      <c r="C82" s="21"/>
    </row>
    <row r="83" spans="1:3" x14ac:dyDescent="0.25">
      <c r="A83" s="8"/>
      <c r="B83" s="8"/>
      <c r="C83" s="8"/>
    </row>
    <row r="84" spans="1:3" x14ac:dyDescent="0.25">
      <c r="A84" s="10"/>
      <c r="B84" s="10"/>
    </row>
    <row r="85" spans="1:3" x14ac:dyDescent="0.25">
      <c r="A85" s="2" t="s">
        <v>169</v>
      </c>
      <c r="B85" s="2">
        <f>B8</f>
        <v>27</v>
      </c>
      <c r="C85" s="2" t="s">
        <v>22</v>
      </c>
    </row>
    <row r="86" spans="1:3" x14ac:dyDescent="0.25">
      <c r="A86" s="1" t="s">
        <v>95</v>
      </c>
      <c r="B86" s="1">
        <f>COUNTIF('Transações Tributárias'!Z2:Z28,"SIM")</f>
        <v>12</v>
      </c>
      <c r="C86" s="13">
        <f>B86/$B$85</f>
        <v>0.44444444444444442</v>
      </c>
    </row>
    <row r="87" spans="1:3" x14ac:dyDescent="0.25">
      <c r="A87" s="1" t="s">
        <v>91</v>
      </c>
      <c r="B87" s="1">
        <f>COUNTIF('Transações Tributárias'!Z2:Z28,"NÃO")</f>
        <v>8</v>
      </c>
      <c r="C87" s="13">
        <f>B87/$B$85</f>
        <v>0.29629629629629628</v>
      </c>
    </row>
    <row r="88" spans="1:3" x14ac:dyDescent="0.25">
      <c r="A88" s="1" t="s">
        <v>21</v>
      </c>
      <c r="B88" s="1">
        <f>COUNTIF('Transações Tributárias'!Z2:Z28,"Não Informado")</f>
        <v>7</v>
      </c>
      <c r="C88" s="13">
        <f>B88/$B$85</f>
        <v>0.25925925925925924</v>
      </c>
    </row>
    <row r="89" spans="1:3" x14ac:dyDescent="0.25">
      <c r="A89" s="8"/>
      <c r="B89" s="32">
        <f>SUM(B86:B88)</f>
        <v>27</v>
      </c>
      <c r="C89" s="33">
        <f>SUM(C86:C88)</f>
        <v>1</v>
      </c>
    </row>
    <row r="91" spans="1:3" x14ac:dyDescent="0.25">
      <c r="A91" s="2" t="s">
        <v>55</v>
      </c>
      <c r="B91" s="2">
        <v>35</v>
      </c>
      <c r="C91" s="2" t="s">
        <v>22</v>
      </c>
    </row>
    <row r="92" spans="1:3" x14ac:dyDescent="0.25">
      <c r="A92" s="1" t="s">
        <v>191</v>
      </c>
      <c r="B92" s="1">
        <f>COUNTIF(Garantias!A1:A38,"Imóvel")</f>
        <v>8</v>
      </c>
      <c r="C92" s="13">
        <f>B92/$B$91</f>
        <v>0.22857142857142856</v>
      </c>
    </row>
    <row r="93" spans="1:3" x14ac:dyDescent="0.25">
      <c r="A93" s="1" t="s">
        <v>36</v>
      </c>
      <c r="B93" s="1">
        <f>COUNTIF(Garantias!A1:A38,"Equipamentos")</f>
        <v>1</v>
      </c>
      <c r="C93" s="13">
        <f t="shared" ref="C93:C103" si="5">B93/$B$91</f>
        <v>2.8571428571428571E-2</v>
      </c>
    </row>
    <row r="94" spans="1:3" x14ac:dyDescent="0.25">
      <c r="A94" s="1" t="s">
        <v>37</v>
      </c>
      <c r="B94" s="1">
        <f>COUNTIF(Garantias!A1:A38,"Seguro Garantia")</f>
        <v>1</v>
      </c>
      <c r="C94" s="13">
        <f t="shared" si="5"/>
        <v>2.8571428571428571E-2</v>
      </c>
    </row>
    <row r="95" spans="1:3" x14ac:dyDescent="0.25">
      <c r="A95" s="1" t="s">
        <v>187</v>
      </c>
      <c r="B95" s="1">
        <f>COUNTIF(Garantias!A1:A38,"Recebíveis")</f>
        <v>2</v>
      </c>
      <c r="C95" s="13">
        <f t="shared" si="5"/>
        <v>5.7142857142857141E-2</v>
      </c>
    </row>
    <row r="96" spans="1:3" x14ac:dyDescent="0.25">
      <c r="A96" s="1" t="s">
        <v>198</v>
      </c>
      <c r="B96" s="1">
        <f>COUNTIF(Garantias!A1:A38,"Depósitos Judiciais")</f>
        <v>3</v>
      </c>
      <c r="C96" s="13">
        <f t="shared" si="5"/>
        <v>8.5714285714285715E-2</v>
      </c>
    </row>
    <row r="97" spans="1:3" x14ac:dyDescent="0.25">
      <c r="A97" s="1" t="s">
        <v>189</v>
      </c>
      <c r="B97" s="1">
        <f>COUNTIF(Garantias!A1:A38,"Precatórios")</f>
        <v>1</v>
      </c>
      <c r="C97" s="13">
        <f t="shared" si="5"/>
        <v>2.8571428571428571E-2</v>
      </c>
    </row>
    <row r="98" spans="1:3" x14ac:dyDescent="0.25">
      <c r="A98" s="1" t="s">
        <v>52</v>
      </c>
      <c r="B98" s="1">
        <f>COUNTIF(Garantias!A1:A38,"Veículos")</f>
        <v>1</v>
      </c>
      <c r="C98" s="13">
        <f t="shared" si="5"/>
        <v>2.8571428571428571E-2</v>
      </c>
    </row>
    <row r="99" spans="1:3" x14ac:dyDescent="0.25">
      <c r="A99" s="1" t="s">
        <v>200</v>
      </c>
      <c r="B99" s="1">
        <f>COUNTIF(Garantias!A1:A38,"Direitos sobre Propriedade Intelectual")</f>
        <v>1</v>
      </c>
      <c r="C99" s="13">
        <f t="shared" si="5"/>
        <v>2.8571428571428571E-2</v>
      </c>
    </row>
    <row r="100" spans="1:3" x14ac:dyDescent="0.25">
      <c r="A100" s="1" t="s">
        <v>194</v>
      </c>
      <c r="B100" s="1">
        <f>COUNTIF(Garantias!A1:A38,"Outros Bens")</f>
        <v>2</v>
      </c>
      <c r="C100" s="13">
        <f t="shared" si="5"/>
        <v>5.7142857142857141E-2</v>
      </c>
    </row>
    <row r="101" spans="1:3" x14ac:dyDescent="0.25">
      <c r="A101" s="1" t="s">
        <v>51</v>
      </c>
      <c r="B101" s="1">
        <f>COUNTIF(Garantias!A8:A44,"Sem Garantias")</f>
        <v>7</v>
      </c>
      <c r="C101" s="13">
        <f t="shared" si="5"/>
        <v>0.2</v>
      </c>
    </row>
    <row r="102" spans="1:3" x14ac:dyDescent="0.25">
      <c r="A102" s="1" t="s">
        <v>21</v>
      </c>
      <c r="B102" s="1">
        <f>COUNTIF(Garantias!A1:A38,"Não Informado")</f>
        <v>7</v>
      </c>
      <c r="C102" s="13">
        <f t="shared" si="5"/>
        <v>0.2</v>
      </c>
    </row>
    <row r="103" spans="1:3" x14ac:dyDescent="0.25">
      <c r="A103" s="1" t="s">
        <v>199</v>
      </c>
      <c r="B103" s="1">
        <f>COUNTIF(Garantias!A1:A38,"N/A
Pagamento à vista")</f>
        <v>1</v>
      </c>
      <c r="C103" s="13">
        <f t="shared" si="5"/>
        <v>2.8571428571428571E-2</v>
      </c>
    </row>
    <row r="104" spans="1:3" x14ac:dyDescent="0.25">
      <c r="A104" s="8"/>
      <c r="B104" s="32">
        <f>SUM(B92:B103)</f>
        <v>35</v>
      </c>
      <c r="C104" s="33">
        <f>SUM(C92:C103)</f>
        <v>1</v>
      </c>
    </row>
  </sheetData>
  <hyperlinks>
    <hyperlink ref="A33" r:id="rId1" display="https://concla.ibge.gov.br/busca-online-cnae.html?view=secao&amp;tipo=cnae&amp;versaosubclasse=10&amp;versaoclasse=7&amp;secao=A" xr:uid="{95AC7ABD-3B05-4C77-BD82-C3462CF6FD13}"/>
    <hyperlink ref="A34" r:id="rId2" display="https://concla.ibge.gov.br/busca-online-cnae.html?view=secao&amp;tipo=cnae&amp;versaosubclasse=10&amp;versaoclasse=7&amp;secao=B" xr:uid="{A3FAB5A6-9840-480D-951F-97A4C4339217}"/>
    <hyperlink ref="A35" r:id="rId3" display="https://concla.ibge.gov.br/busca-online-cnae.html?view=secao&amp;tipo=cnae&amp;versaosubclasse=10&amp;versaoclasse=7&amp;secao=C" xr:uid="{078A1501-CFCC-4814-996E-EDEAD995538F}"/>
    <hyperlink ref="A36" r:id="rId4" display="https://concla.ibge.gov.br/busca-online-cnae.html?view=secao&amp;tipo=cnae&amp;versaosubclasse=10&amp;versaoclasse=7&amp;secao=D" xr:uid="{F2C70EE4-4ADA-42C4-9834-5D23603DA2B7}"/>
    <hyperlink ref="A37" r:id="rId5" display="https://concla.ibge.gov.br/busca-online-cnae.html?view=secao&amp;tipo=cnae&amp;versaosubclasse=10&amp;versaoclasse=7&amp;secao=E" xr:uid="{C504A182-8FD5-4C99-8651-225A5FB5DF88}"/>
    <hyperlink ref="A38" r:id="rId6" display="https://concla.ibge.gov.br/busca-online-cnae.html?view=secao&amp;tipo=cnae&amp;versaosubclasse=10&amp;versaoclasse=7&amp;secao=F" xr:uid="{AFABD310-F3FA-4868-AB8F-13BC39439EA3}"/>
    <hyperlink ref="A39" r:id="rId7" display="https://concla.ibge.gov.br/busca-online-cnae.html?view=secao&amp;tipo=cnae&amp;versaosubclasse=10&amp;versaoclasse=7&amp;secao=G" xr:uid="{09CD2738-16FB-490F-B737-49947587ABDE}"/>
    <hyperlink ref="A40" r:id="rId8" display="https://concla.ibge.gov.br/busca-online-cnae.html?view=secao&amp;tipo=cnae&amp;versaosubclasse=10&amp;versaoclasse=7&amp;secao=H" xr:uid="{89FC8757-B70D-4827-8781-ABC2A2FE35D4}"/>
    <hyperlink ref="A41" r:id="rId9" display="https://concla.ibge.gov.br/busca-online-cnae.html?view=secao&amp;tipo=cnae&amp;versaosubclasse=10&amp;versaoclasse=7&amp;secao=I" xr:uid="{FA9E3D68-AC09-43AD-A6B2-BFA58C007A83}"/>
    <hyperlink ref="A42" r:id="rId10" display="https://concla.ibge.gov.br/busca-online-cnae.html?view=secao&amp;tipo=cnae&amp;versaosubclasse=10&amp;versaoclasse=7&amp;secao=J" xr:uid="{388A86AA-EDE0-4CAA-A4B9-EF59CF30977F}"/>
    <hyperlink ref="A43" r:id="rId11" display="https://concla.ibge.gov.br/busca-online-cnae.html?view=secao&amp;tipo=cnae&amp;versaosubclasse=10&amp;versaoclasse=7&amp;secao=K" xr:uid="{023FF34F-DDB3-46B1-A952-A52377230513}"/>
    <hyperlink ref="A44" r:id="rId12" display="https://concla.ibge.gov.br/busca-online-cnae.html?view=secao&amp;tipo=cnae&amp;versaosubclasse=10&amp;versaoclasse=7&amp;secao=L" xr:uid="{809475DD-FF98-450B-BF13-758F31FA99A5}"/>
    <hyperlink ref="A45" r:id="rId13" display="https://concla.ibge.gov.br/busca-online-cnae.html?view=secao&amp;tipo=cnae&amp;versaosubclasse=10&amp;versaoclasse=7&amp;secao=M" xr:uid="{A2EE39FF-655F-4BE9-B4DD-F33A6D9EC7B1}"/>
    <hyperlink ref="A46" r:id="rId14" display="https://concla.ibge.gov.br/busca-online-cnae.html?view=secao&amp;tipo=cnae&amp;versaosubclasse=10&amp;versaoclasse=7&amp;secao=N" xr:uid="{CA387076-62DF-43A6-8048-48064A0544ED}"/>
    <hyperlink ref="A47" r:id="rId15" display="https://concla.ibge.gov.br/busca-online-cnae.html?view=secao&amp;tipo=cnae&amp;versaosubclasse=10&amp;versaoclasse=7&amp;secao=O" xr:uid="{78B2ACAE-45D1-4391-A544-D38563DFCE2C}"/>
    <hyperlink ref="A48" r:id="rId16" display="https://concla.ibge.gov.br/busca-online-cnae.html?view=secao&amp;tipo=cnae&amp;versaosubclasse=10&amp;versaoclasse=7&amp;secao=P" xr:uid="{4CC84314-63BA-4548-BB4E-96DF5BCA9ACA}"/>
    <hyperlink ref="A49" r:id="rId17" display="https://concla.ibge.gov.br/busca-online-cnae.html?view=secao&amp;tipo=cnae&amp;versaosubclasse=10&amp;versaoclasse=7&amp;secao=Q" xr:uid="{25F19EEC-9D46-476D-BCF7-8D4B0BC55A9C}"/>
    <hyperlink ref="A50" r:id="rId18" display="https://concla.ibge.gov.br/busca-online-cnae.html?view=secao&amp;tipo=cnae&amp;versaosubclasse=10&amp;versaoclasse=7&amp;secao=R" xr:uid="{A429EFA0-7EF6-4C9A-9F11-FCE143D8C121}"/>
    <hyperlink ref="A51" r:id="rId19" display="https://concla.ibge.gov.br/busca-online-cnae.html?view=secao&amp;tipo=cnae&amp;versaosubclasse=10&amp;versaoclasse=7&amp;secao=S" xr:uid="{6C1DFE01-5384-4B56-BE12-361D1F876AB5}"/>
    <hyperlink ref="A52" r:id="rId20" display="https://concla.ibge.gov.br/busca-online-cnae.html?view=secao&amp;tipo=cnae&amp;versaosubclasse=10&amp;versaoclasse=7&amp;secao=T" xr:uid="{3F599519-17BD-434F-A857-FD60A94E0587}"/>
    <hyperlink ref="A53" r:id="rId21" display="https://concla.ibge.gov.br/busca-online-cnae.html?view=secao&amp;tipo=cnae&amp;versaosubclasse=10&amp;versaoclasse=7&amp;secao=U" xr:uid="{E90349FC-A793-4196-A0A6-6E90646153B3}"/>
  </hyperlinks>
  <pageMargins left="0.511811024" right="0.511811024" top="0.78740157499999996" bottom="0.78740157499999996" header="0.31496062000000002" footer="0.31496062000000002"/>
  <pageSetup paperSize="9" orientation="portrait" horizontalDpi="0" verticalDpi="0" r:id="rId22"/>
  <drawing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B08CB-E683-4E76-AF41-17BE846FE9D9}">
  <dimension ref="A1:AO254"/>
  <sheetViews>
    <sheetView showGridLines="0" tabSelected="1" zoomScale="40" zoomScaleNormal="40" workbookViewId="0">
      <pane ySplit="1" topLeftCell="A2" activePane="bottomLeft" state="frozen"/>
      <selection activeCell="W1" sqref="W1"/>
      <selection pane="bottomLeft" activeCell="I5" sqref="I5"/>
    </sheetView>
  </sheetViews>
  <sheetFormatPr defaultColWidth="0" defaultRowHeight="15" zeroHeight="1" x14ac:dyDescent="0.25"/>
  <cols>
    <col min="1" max="1" width="3.85546875" customWidth="1"/>
    <col min="2" max="5" width="19.28515625" customWidth="1"/>
    <col min="6" max="6" width="92.140625" customWidth="1"/>
    <col min="7" max="18" width="40.7109375" customWidth="1"/>
    <col min="19" max="19" width="40.7109375" hidden="1" customWidth="1"/>
    <col min="20" max="27" width="40.7109375" customWidth="1"/>
    <col min="28" max="28" width="40.7109375" hidden="1" customWidth="1"/>
    <col min="29" max="29" width="40.7109375" customWidth="1"/>
    <col min="30" max="30" width="56.28515625" customWidth="1"/>
    <col min="31" max="31" width="40.7109375" customWidth="1"/>
    <col min="32" max="32" width="9.140625" customWidth="1"/>
    <col min="33" max="41" width="0" hidden="1" customWidth="1"/>
    <col min="42" max="16384" width="9.140625" hidden="1"/>
  </cols>
  <sheetData>
    <row r="1" spans="1:31" ht="95.25" customHeight="1" x14ac:dyDescent="0.25">
      <c r="B1" s="2" t="s">
        <v>2</v>
      </c>
      <c r="C1" s="2" t="s">
        <v>3</v>
      </c>
      <c r="D1" s="2" t="s">
        <v>15</v>
      </c>
      <c r="E1" s="2"/>
      <c r="F1" s="2" t="s">
        <v>4</v>
      </c>
      <c r="G1" s="2" t="s">
        <v>20</v>
      </c>
      <c r="H1" s="2" t="s">
        <v>57</v>
      </c>
      <c r="I1" s="2" t="s">
        <v>271</v>
      </c>
      <c r="J1" s="2" t="s">
        <v>10</v>
      </c>
      <c r="K1" s="2" t="s">
        <v>5</v>
      </c>
      <c r="L1" s="2" t="s">
        <v>82</v>
      </c>
      <c r="M1" s="2" t="s">
        <v>84</v>
      </c>
      <c r="N1" s="2" t="s">
        <v>85</v>
      </c>
      <c r="O1" s="2" t="s">
        <v>86</v>
      </c>
      <c r="P1" s="2" t="s">
        <v>87</v>
      </c>
      <c r="Q1" s="2" t="s">
        <v>88</v>
      </c>
      <c r="R1" s="2" t="s">
        <v>83</v>
      </c>
      <c r="S1" s="3" t="s">
        <v>22</v>
      </c>
      <c r="T1" s="2" t="s">
        <v>89</v>
      </c>
      <c r="U1" s="2" t="s">
        <v>222</v>
      </c>
      <c r="V1" s="2" t="s">
        <v>223</v>
      </c>
      <c r="W1" s="2" t="s">
        <v>224</v>
      </c>
      <c r="X1" s="3" t="s">
        <v>183</v>
      </c>
      <c r="Y1" s="3" t="s">
        <v>184</v>
      </c>
      <c r="Z1" s="48" t="s">
        <v>0</v>
      </c>
      <c r="AA1" s="49"/>
      <c r="AB1" s="3" t="s">
        <v>13</v>
      </c>
      <c r="AC1" s="3" t="s">
        <v>24</v>
      </c>
      <c r="AD1" s="3" t="s">
        <v>1</v>
      </c>
      <c r="AE1" s="3" t="s">
        <v>6</v>
      </c>
    </row>
    <row r="2" spans="1:31" ht="120" customHeight="1" x14ac:dyDescent="0.25">
      <c r="A2" s="14">
        <v>1</v>
      </c>
      <c r="B2" s="22">
        <v>44005</v>
      </c>
      <c r="C2" s="23" t="s">
        <v>42</v>
      </c>
      <c r="D2" s="23" t="s">
        <v>43</v>
      </c>
      <c r="E2" s="24">
        <v>1</v>
      </c>
      <c r="F2" s="23" t="s">
        <v>44</v>
      </c>
      <c r="G2" s="23" t="s">
        <v>9</v>
      </c>
      <c r="H2" s="23" t="s">
        <v>58</v>
      </c>
      <c r="I2" s="23" t="s">
        <v>261</v>
      </c>
      <c r="J2" s="23" t="s">
        <v>11</v>
      </c>
      <c r="K2" s="23" t="s">
        <v>47</v>
      </c>
      <c r="L2" s="25">
        <f>R2+Q2</f>
        <v>157810837.69523805</v>
      </c>
      <c r="M2" s="23" t="s">
        <v>59</v>
      </c>
      <c r="N2" s="23" t="s">
        <v>59</v>
      </c>
      <c r="O2" s="23" t="s">
        <v>59</v>
      </c>
      <c r="P2" s="23" t="s">
        <v>59</v>
      </c>
      <c r="Q2" s="25">
        <f>(3271773.67+320632.17+4642952.64+5358782.64+6064670.52+6770558.4+8923019.25+47498300.5)</f>
        <v>82850689.789999992</v>
      </c>
      <c r="R2" s="25">
        <f>(Q2*0.475)/0.525</f>
        <v>74960147.905238077</v>
      </c>
      <c r="S2" s="39">
        <v>0.47499999999999998</v>
      </c>
      <c r="T2" s="25">
        <v>36489702.960000001</v>
      </c>
      <c r="U2" s="25">
        <v>7042403.3099999996</v>
      </c>
      <c r="V2" s="25">
        <v>29875873.629999999</v>
      </c>
      <c r="W2" s="25">
        <v>9576676.6799999997</v>
      </c>
      <c r="X2" s="23">
        <v>0</v>
      </c>
      <c r="Y2" s="23">
        <v>145</v>
      </c>
      <c r="Z2" s="23" t="s">
        <v>14</v>
      </c>
      <c r="AA2" s="23" t="s">
        <v>45</v>
      </c>
      <c r="AB2" s="23" t="s">
        <v>14</v>
      </c>
      <c r="AC2" s="23" t="s">
        <v>46</v>
      </c>
      <c r="AD2" s="23" t="s">
        <v>201</v>
      </c>
      <c r="AE2" s="26" t="s">
        <v>6</v>
      </c>
    </row>
    <row r="3" spans="1:31" ht="120" customHeight="1" x14ac:dyDescent="0.25">
      <c r="A3" s="14">
        <f>A2+1</f>
        <v>2</v>
      </c>
      <c r="B3" s="22">
        <v>43950</v>
      </c>
      <c r="C3" s="23" t="s">
        <v>7</v>
      </c>
      <c r="D3" s="23" t="s">
        <v>16</v>
      </c>
      <c r="E3" s="24">
        <v>1</v>
      </c>
      <c r="F3" s="15" t="s">
        <v>48</v>
      </c>
      <c r="G3" s="23" t="s">
        <v>9</v>
      </c>
      <c r="H3" s="23" t="s">
        <v>58</v>
      </c>
      <c r="I3" s="23" t="s">
        <v>243</v>
      </c>
      <c r="J3" s="23" t="s">
        <v>11</v>
      </c>
      <c r="K3" s="23" t="s">
        <v>39</v>
      </c>
      <c r="L3" s="25">
        <f>165383047.98+83581912.57</f>
        <v>248964960.54999998</v>
      </c>
      <c r="M3" s="23" t="s">
        <v>59</v>
      </c>
      <c r="N3" s="23" t="s">
        <v>59</v>
      </c>
      <c r="O3" s="23" t="s">
        <v>59</v>
      </c>
      <c r="P3" s="23" t="s">
        <v>59</v>
      </c>
      <c r="Q3" s="25">
        <f>(99229828.78+50149147.54)</f>
        <v>149378976.31999999</v>
      </c>
      <c r="R3" s="25">
        <f>(66153219.19+33432765.02)</f>
        <v>99585984.209999993</v>
      </c>
      <c r="S3" s="39">
        <f>R3/Q3</f>
        <v>0.66666666664435204</v>
      </c>
      <c r="T3" s="25">
        <f>'[1]Parcelamentos no Sistema de Par'!$K$585532+'[1]Parcelamentos no Sistema de Par'!$K$585533</f>
        <v>68475465.819999993</v>
      </c>
      <c r="U3" s="25">
        <f>'[1]Parcelamentos no Sistema de Par'!$L$585532+'[1]Parcelamentos no Sistema de Par'!$L$585533</f>
        <v>17553664.760000002</v>
      </c>
      <c r="V3" s="25">
        <f>'[1]Parcelamentos no Sistema de Par'!$M$585532+'[1]Parcelamentos no Sistema de Par'!$M$585533</f>
        <v>44801936.590000004</v>
      </c>
      <c r="W3" s="25">
        <f>'[1]Parcelamentos no Sistema de Par'!$N$585532+'[1]Parcelamentos no Sistema de Par'!$N$585533</f>
        <v>18547909.16</v>
      </c>
      <c r="X3" s="23">
        <v>54</v>
      </c>
      <c r="Y3" s="23">
        <v>78</v>
      </c>
      <c r="Z3" s="23" t="s">
        <v>14</v>
      </c>
      <c r="AA3" s="23" t="s">
        <v>49</v>
      </c>
      <c r="AB3" s="23" t="s">
        <v>14</v>
      </c>
      <c r="AC3" s="23" t="s">
        <v>50</v>
      </c>
      <c r="AD3" s="23" t="s">
        <v>81</v>
      </c>
      <c r="AE3" s="26" t="s">
        <v>6</v>
      </c>
    </row>
    <row r="4" spans="1:31" ht="120" customHeight="1" x14ac:dyDescent="0.25">
      <c r="A4" s="14">
        <f t="shared" ref="A4:A28" si="0">A3+1</f>
        <v>3</v>
      </c>
      <c r="B4" s="22">
        <v>43944</v>
      </c>
      <c r="C4" s="23" t="s">
        <v>7</v>
      </c>
      <c r="D4" s="23" t="s">
        <v>16</v>
      </c>
      <c r="E4" s="24">
        <v>3</v>
      </c>
      <c r="F4" s="15" t="s">
        <v>38</v>
      </c>
      <c r="G4" s="23" t="s">
        <v>9</v>
      </c>
      <c r="H4" s="23" t="s">
        <v>14</v>
      </c>
      <c r="I4" s="23" t="s">
        <v>237</v>
      </c>
      <c r="J4" s="23" t="s">
        <v>11</v>
      </c>
      <c r="K4" s="23" t="s">
        <v>39</v>
      </c>
      <c r="L4" s="25">
        <f>Q4+R4</f>
        <v>176089567.53</v>
      </c>
      <c r="M4" s="23" t="s">
        <v>59</v>
      </c>
      <c r="N4" s="23" t="s">
        <v>59</v>
      </c>
      <c r="O4" s="23" t="s">
        <v>59</v>
      </c>
      <c r="P4" s="23" t="s">
        <v>59</v>
      </c>
      <c r="Q4" s="25">
        <f>(71416399.8+17027922.42)</f>
        <v>88444322.219999999</v>
      </c>
      <c r="R4" s="25">
        <f>(70617322.89+17027922.42)</f>
        <v>87645245.310000002</v>
      </c>
      <c r="S4" s="39">
        <f>R4/L4</f>
        <v>0.49773104982535704</v>
      </c>
      <c r="T4" s="25">
        <f>'[1]Parcelamentos no Sistema de Par'!$K$541973+'[1]Parcelamentos no Sistema de Par'!$K$541974</f>
        <v>45099209.620000005</v>
      </c>
      <c r="U4" s="25">
        <f>'[1]Parcelamentos no Sistema de Par'!$L$541973+'[1]Parcelamentos no Sistema de Par'!$L$541974</f>
        <v>9163737.8600000013</v>
      </c>
      <c r="V4" s="25">
        <f>'[1]Parcelamentos no Sistema de Par'!$M$541973+'[1]Parcelamentos no Sistema de Par'!$M$541974</f>
        <v>25245830.029999997</v>
      </c>
      <c r="W4" s="25">
        <f>'[1]Parcelamentos no Sistema de Par'!$N$541973+'[1]Parcelamentos no Sistema de Par'!$N$541974</f>
        <v>9183690.9199999999</v>
      </c>
      <c r="X4" s="23">
        <v>60</v>
      </c>
      <c r="Y4" s="23">
        <v>84</v>
      </c>
      <c r="Z4" s="23" t="s">
        <v>14</v>
      </c>
      <c r="AA4" s="23" t="s">
        <v>40</v>
      </c>
      <c r="AB4" s="23" t="s">
        <v>14</v>
      </c>
      <c r="AC4" s="23" t="s">
        <v>41</v>
      </c>
      <c r="AD4" s="23" t="s">
        <v>72</v>
      </c>
      <c r="AE4" s="26" t="s">
        <v>6</v>
      </c>
    </row>
    <row r="5" spans="1:31" ht="120" customHeight="1" x14ac:dyDescent="0.25">
      <c r="A5" s="14">
        <f t="shared" si="0"/>
        <v>4</v>
      </c>
      <c r="B5" s="22">
        <v>44026</v>
      </c>
      <c r="C5" s="23" t="s">
        <v>7</v>
      </c>
      <c r="D5" s="23" t="s">
        <v>16</v>
      </c>
      <c r="E5" s="24">
        <v>1</v>
      </c>
      <c r="F5" s="15" t="s">
        <v>8</v>
      </c>
      <c r="G5" s="23" t="s">
        <v>9</v>
      </c>
      <c r="H5" s="23" t="s">
        <v>58</v>
      </c>
      <c r="I5" s="23" t="s">
        <v>241</v>
      </c>
      <c r="J5" s="23" t="s">
        <v>11</v>
      </c>
      <c r="K5" s="23" t="s">
        <v>18</v>
      </c>
      <c r="L5" s="25">
        <f>Q5+R5</f>
        <v>149202089.83000001</v>
      </c>
      <c r="M5" s="23" t="s">
        <v>59</v>
      </c>
      <c r="N5" s="23" t="s">
        <v>59</v>
      </c>
      <c r="O5" s="23" t="s">
        <v>59</v>
      </c>
      <c r="P5" s="23" t="s">
        <v>59</v>
      </c>
      <c r="Q5" s="25">
        <v>88267956.340000004</v>
      </c>
      <c r="R5" s="25">
        <v>60934133.490000002</v>
      </c>
      <c r="S5" s="40">
        <f>R5/L5</f>
        <v>0.40840000002297555</v>
      </c>
      <c r="T5" s="25">
        <f>'[1]Parcelamentos no Sistema de Par'!$K$456356</f>
        <v>30994790.5</v>
      </c>
      <c r="U5" s="25">
        <f>'[1]Parcelamentos no Sistema de Par'!$L$456356</f>
        <v>4463710.07</v>
      </c>
      <c r="V5" s="25">
        <f>'[1]Parcelamentos no Sistema de Par'!$M$456356</f>
        <v>40835594.869999997</v>
      </c>
      <c r="W5" s="25">
        <f>'[1]Parcelamentos no Sistema de Par'!$N$456356</f>
        <v>11973860.91</v>
      </c>
      <c r="X5" s="23">
        <v>0</v>
      </c>
      <c r="Y5" s="23">
        <v>84</v>
      </c>
      <c r="Z5" s="23" t="s">
        <v>14</v>
      </c>
      <c r="AA5" s="23" t="s">
        <v>12</v>
      </c>
      <c r="AB5" s="23" t="s">
        <v>14</v>
      </c>
      <c r="AC5" s="23" t="s">
        <v>23</v>
      </c>
      <c r="AD5" s="23" t="s">
        <v>60</v>
      </c>
      <c r="AE5" s="26" t="s">
        <v>6</v>
      </c>
    </row>
    <row r="6" spans="1:31" ht="120" customHeight="1" x14ac:dyDescent="0.25">
      <c r="A6" s="14">
        <f t="shared" si="0"/>
        <v>5</v>
      </c>
      <c r="B6" s="22">
        <v>43951</v>
      </c>
      <c r="C6" s="23" t="s">
        <v>61</v>
      </c>
      <c r="D6" s="23" t="s">
        <v>62</v>
      </c>
      <c r="E6" s="24">
        <v>1</v>
      </c>
      <c r="F6" s="15" t="s">
        <v>63</v>
      </c>
      <c r="G6" s="23" t="s">
        <v>9</v>
      </c>
      <c r="H6" s="23" t="s">
        <v>14</v>
      </c>
      <c r="I6" s="23" t="s">
        <v>64</v>
      </c>
      <c r="J6" s="23" t="s">
        <v>11</v>
      </c>
      <c r="K6" s="23" t="s">
        <v>39</v>
      </c>
      <c r="L6" s="25">
        <f>16334.57+764026.34</f>
        <v>780360.90999999992</v>
      </c>
      <c r="M6" s="25">
        <f>2881.66+205997.87</f>
        <v>208879.53</v>
      </c>
      <c r="N6" s="25">
        <f>652.11+123598.73</f>
        <v>124250.84</v>
      </c>
      <c r="O6" s="25">
        <f>10078.47+364972.8</f>
        <v>375051.26999999996</v>
      </c>
      <c r="P6" s="25">
        <f>2722.43+69456.94</f>
        <v>72179.37</v>
      </c>
      <c r="Q6" s="25">
        <f>391002.49</f>
        <v>391002.49</v>
      </c>
      <c r="R6" s="25">
        <f>L6-Q6</f>
        <v>389358.41999999993</v>
      </c>
      <c r="S6" s="40">
        <f>R6/L6</f>
        <v>0.49894659638961153</v>
      </c>
      <c r="T6" s="25">
        <f>'[1]Parcelamentos no Sistema de Par'!$K$569416</f>
        <v>205997.87</v>
      </c>
      <c r="U6" s="25">
        <f>'[1]Parcelamentos no Sistema de Par'!$L$569416</f>
        <v>38985.94</v>
      </c>
      <c r="V6" s="25">
        <f>'[1]Parcelamentos no Sistema de Par'!$M$569416</f>
        <v>115121</v>
      </c>
      <c r="W6" s="25">
        <f>'[1]Parcelamentos no Sistema de Par'!$N$569416</f>
        <v>21908.33</v>
      </c>
      <c r="X6" s="23">
        <v>1</v>
      </c>
      <c r="Y6" s="23">
        <v>1</v>
      </c>
      <c r="Z6" s="23" t="s">
        <v>58</v>
      </c>
      <c r="AA6" s="23" t="s">
        <v>65</v>
      </c>
      <c r="AB6" s="23" t="s">
        <v>14</v>
      </c>
      <c r="AC6" s="23" t="s">
        <v>66</v>
      </c>
      <c r="AD6" s="23" t="s">
        <v>68</v>
      </c>
      <c r="AE6" s="26" t="s">
        <v>6</v>
      </c>
    </row>
    <row r="7" spans="1:31" ht="120" customHeight="1" x14ac:dyDescent="0.25">
      <c r="A7" s="14">
        <f t="shared" si="0"/>
        <v>6</v>
      </c>
      <c r="B7" s="22">
        <v>43971</v>
      </c>
      <c r="C7" s="23" t="s">
        <v>61</v>
      </c>
      <c r="D7" s="23" t="s">
        <v>62</v>
      </c>
      <c r="E7" s="24">
        <v>1</v>
      </c>
      <c r="F7" s="15" t="s">
        <v>67</v>
      </c>
      <c r="G7" s="23" t="s">
        <v>9</v>
      </c>
      <c r="H7" s="23" t="s">
        <v>14</v>
      </c>
      <c r="I7" s="23" t="s">
        <v>64</v>
      </c>
      <c r="J7" s="23" t="s">
        <v>11</v>
      </c>
      <c r="K7" s="23" t="s">
        <v>39</v>
      </c>
      <c r="L7" s="23" t="s">
        <v>21</v>
      </c>
      <c r="M7" s="23" t="s">
        <v>21</v>
      </c>
      <c r="N7" s="23" t="s">
        <v>21</v>
      </c>
      <c r="O7" s="23" t="s">
        <v>21</v>
      </c>
      <c r="P7" s="23" t="s">
        <v>21</v>
      </c>
      <c r="Q7" s="23" t="s">
        <v>21</v>
      </c>
      <c r="R7" s="23" t="s">
        <v>21</v>
      </c>
      <c r="S7" s="40">
        <v>0.5</v>
      </c>
      <c r="T7" s="25">
        <f>'[1]Parcelamentos no Sistema de Par'!$K$530482+'[1]Parcelamentos no Sistema de Par'!$K$530483</f>
        <v>1701942.26</v>
      </c>
      <c r="U7" s="25">
        <f>'[1]Parcelamentos no Sistema de Par'!$L$530482+'[1]Parcelamentos no Sistema de Par'!$L$530483</f>
        <v>76865.88</v>
      </c>
      <c r="V7" s="25">
        <f>'[1]Parcelamentos no Sistema de Par'!$M$530482+'[1]Parcelamentos no Sistema de Par'!$M$530483</f>
        <v>403411.94</v>
      </c>
      <c r="W7" s="25">
        <f>'[1]Parcelamentos no Sistema de Par'!$N$530482+'[1]Parcelamentos no Sistema de Par'!$N$530483</f>
        <v>169932.62</v>
      </c>
      <c r="X7" s="23">
        <v>1</v>
      </c>
      <c r="Y7" s="23">
        <v>1</v>
      </c>
      <c r="Z7" s="23" t="s">
        <v>58</v>
      </c>
      <c r="AA7" s="23" t="s">
        <v>65</v>
      </c>
      <c r="AB7" s="23" t="s">
        <v>14</v>
      </c>
      <c r="AC7" s="23" t="s">
        <v>69</v>
      </c>
      <c r="AD7" s="23" t="s">
        <v>70</v>
      </c>
      <c r="AE7" s="26" t="s">
        <v>6</v>
      </c>
    </row>
    <row r="8" spans="1:31" ht="120" customHeight="1" x14ac:dyDescent="0.25">
      <c r="A8" s="14">
        <f t="shared" si="0"/>
        <v>7</v>
      </c>
      <c r="B8" s="22">
        <v>43980</v>
      </c>
      <c r="C8" s="23" t="s">
        <v>61</v>
      </c>
      <c r="D8" s="23" t="s">
        <v>62</v>
      </c>
      <c r="E8" s="24">
        <v>1</v>
      </c>
      <c r="F8" s="15" t="s">
        <v>71</v>
      </c>
      <c r="G8" s="23" t="s">
        <v>9</v>
      </c>
      <c r="H8" s="23" t="s">
        <v>14</v>
      </c>
      <c r="I8" s="23" t="s">
        <v>239</v>
      </c>
      <c r="J8" s="23" t="s">
        <v>11</v>
      </c>
      <c r="K8" s="23" t="s">
        <v>39</v>
      </c>
      <c r="L8" s="25">
        <f>11459394.75</f>
        <v>11459394.75</v>
      </c>
      <c r="M8" s="23" t="s">
        <v>21</v>
      </c>
      <c r="N8" s="23" t="s">
        <v>21</v>
      </c>
      <c r="O8" s="23" t="s">
        <v>21</v>
      </c>
      <c r="P8" s="23" t="s">
        <v>21</v>
      </c>
      <c r="Q8" s="25">
        <f>3086205.91+3404032.12</f>
        <v>6490238.0300000003</v>
      </c>
      <c r="R8" s="25">
        <f>L8-Q8</f>
        <v>4969156.72</v>
      </c>
      <c r="S8" s="40" t="s">
        <v>73</v>
      </c>
      <c r="T8" s="25">
        <f>'[1]Parcelamentos no Sistema de Par'!$K$440272+'[1]Parcelamentos no Sistema de Par'!$K$440273</f>
        <v>6413564.3700000001</v>
      </c>
      <c r="U8" s="25">
        <f>'[1]Parcelamentos no Sistema de Par'!$L$440272+'[1]Parcelamentos no Sistema de Par'!$L$440273</f>
        <v>90596.37</v>
      </c>
      <c r="V8" s="25">
        <f>'[1]Parcelamentos no Sistema de Par'!$M$440272+'[1]Parcelamentos no Sistema de Par'!$M$440273</f>
        <v>159684.39000000001</v>
      </c>
      <c r="W8" s="25">
        <f>'[1]Parcelamentos no Sistema de Par'!$N$440272+'[1]Parcelamentos no Sistema de Par'!$N$440273</f>
        <v>63792.039999999994</v>
      </c>
      <c r="X8" s="23">
        <v>60</v>
      </c>
      <c r="Y8" s="23">
        <v>100</v>
      </c>
      <c r="Z8" s="23" t="s">
        <v>14</v>
      </c>
      <c r="AA8" s="23" t="s">
        <v>35</v>
      </c>
      <c r="AB8" s="23" t="s">
        <v>14</v>
      </c>
      <c r="AC8" s="23" t="s">
        <v>74</v>
      </c>
      <c r="AD8" s="23" t="s">
        <v>75</v>
      </c>
      <c r="AE8" s="26" t="s">
        <v>6</v>
      </c>
    </row>
    <row r="9" spans="1:31" ht="120" customHeight="1" x14ac:dyDescent="0.25">
      <c r="A9" s="14">
        <f t="shared" si="0"/>
        <v>8</v>
      </c>
      <c r="B9" s="22">
        <v>44159</v>
      </c>
      <c r="C9" s="23" t="s">
        <v>76</v>
      </c>
      <c r="D9" s="23" t="s">
        <v>77</v>
      </c>
      <c r="E9" s="24">
        <v>1</v>
      </c>
      <c r="F9" s="15" t="s">
        <v>78</v>
      </c>
      <c r="G9" s="23" t="s">
        <v>9</v>
      </c>
      <c r="H9" s="23" t="s">
        <v>58</v>
      </c>
      <c r="I9" s="23" t="s">
        <v>239</v>
      </c>
      <c r="J9" s="23" t="s">
        <v>11</v>
      </c>
      <c r="K9" s="23" t="s">
        <v>39</v>
      </c>
      <c r="L9" s="23" t="s">
        <v>59</v>
      </c>
      <c r="M9" s="23" t="s">
        <v>59</v>
      </c>
      <c r="N9" s="23" t="s">
        <v>59</v>
      </c>
      <c r="O9" s="23" t="s">
        <v>59</v>
      </c>
      <c r="P9" s="23" t="s">
        <v>59</v>
      </c>
      <c r="Q9" s="23" t="s">
        <v>59</v>
      </c>
      <c r="R9" s="23" t="s">
        <v>59</v>
      </c>
      <c r="S9" s="41">
        <v>0.5</v>
      </c>
      <c r="T9" s="25">
        <f>'[1]Parcelamentos no Sistema de Par'!$K$86303+'[1]Parcelamentos no Sistema de Par'!$K$86304</f>
        <v>3484301.43</v>
      </c>
      <c r="U9" s="25">
        <f>'[1]Parcelamentos no Sistema de Par'!$L$86303+'[1]Parcelamentos no Sistema de Par'!$L$86304</f>
        <v>7536.45</v>
      </c>
      <c r="V9" s="25">
        <f>'[1]Parcelamentos no Sistema de Par'!$M$86303+'[1]Parcelamentos no Sistema de Par'!$M$86304</f>
        <v>18610.45</v>
      </c>
      <c r="W9" s="25">
        <f>'[1]Parcelamentos no Sistema de Par'!$N$86303+'[1]Parcelamentos no Sistema de Par'!$N$86304</f>
        <v>11941.01</v>
      </c>
      <c r="X9" s="23">
        <v>60</v>
      </c>
      <c r="Y9" s="23">
        <v>84</v>
      </c>
      <c r="Z9" s="23" t="s">
        <v>58</v>
      </c>
      <c r="AA9" s="23" t="s">
        <v>65</v>
      </c>
      <c r="AB9" s="23" t="s">
        <v>14</v>
      </c>
      <c r="AC9" s="23" t="s">
        <v>79</v>
      </c>
      <c r="AD9" s="23" t="s">
        <v>80</v>
      </c>
      <c r="AE9" s="26" t="s">
        <v>6</v>
      </c>
    </row>
    <row r="10" spans="1:31" ht="120" customHeight="1" x14ac:dyDescent="0.25">
      <c r="A10" s="14">
        <f t="shared" si="0"/>
        <v>9</v>
      </c>
      <c r="B10" s="22">
        <v>43909</v>
      </c>
      <c r="C10" s="23" t="s">
        <v>76</v>
      </c>
      <c r="D10" s="23" t="s">
        <v>77</v>
      </c>
      <c r="E10" s="24">
        <v>1</v>
      </c>
      <c r="F10" s="15" t="s">
        <v>90</v>
      </c>
      <c r="G10" s="23" t="s">
        <v>9</v>
      </c>
      <c r="H10" s="23" t="s">
        <v>58</v>
      </c>
      <c r="I10" s="23" t="s">
        <v>241</v>
      </c>
      <c r="J10" s="23" t="s">
        <v>92</v>
      </c>
      <c r="K10" s="23" t="s">
        <v>39</v>
      </c>
      <c r="L10" s="23" t="s">
        <v>59</v>
      </c>
      <c r="M10" s="23" t="s">
        <v>59</v>
      </c>
      <c r="N10" s="23" t="s">
        <v>59</v>
      </c>
      <c r="O10" s="23" t="s">
        <v>59</v>
      </c>
      <c r="P10" s="23" t="s">
        <v>59</v>
      </c>
      <c r="Q10" s="25">
        <v>8824729.9499999993</v>
      </c>
      <c r="R10" s="25">
        <v>368278.78</v>
      </c>
      <c r="S10" s="30">
        <v>517488.11</v>
      </c>
      <c r="T10" s="25">
        <v>426987.83</v>
      </c>
      <c r="U10" s="25">
        <v>10137484.68</v>
      </c>
      <c r="V10" s="25" t="s">
        <v>93</v>
      </c>
      <c r="W10" s="28">
        <v>0.4</v>
      </c>
      <c r="X10" s="23">
        <v>60</v>
      </c>
      <c r="Y10" s="23">
        <v>84</v>
      </c>
      <c r="Z10" s="23" t="s">
        <v>14</v>
      </c>
      <c r="AA10" s="23" t="s">
        <v>94</v>
      </c>
      <c r="AB10" s="23" t="s">
        <v>95</v>
      </c>
      <c r="AC10" s="23" t="s">
        <v>96</v>
      </c>
      <c r="AD10" s="23" t="s">
        <v>97</v>
      </c>
      <c r="AE10" s="26" t="s">
        <v>6</v>
      </c>
    </row>
    <row r="11" spans="1:31" ht="120" customHeight="1" x14ac:dyDescent="0.25">
      <c r="A11" s="14">
        <f t="shared" si="0"/>
        <v>10</v>
      </c>
      <c r="B11" s="22">
        <v>44159</v>
      </c>
      <c r="C11" s="23" t="s">
        <v>76</v>
      </c>
      <c r="D11" s="23" t="s">
        <v>77</v>
      </c>
      <c r="E11" s="24">
        <v>1</v>
      </c>
      <c r="F11" s="15" t="s">
        <v>98</v>
      </c>
      <c r="G11" s="23" t="s">
        <v>9</v>
      </c>
      <c r="H11" s="23" t="s">
        <v>58</v>
      </c>
      <c r="I11" s="23" t="s">
        <v>251</v>
      </c>
      <c r="J11" s="23" t="s">
        <v>92</v>
      </c>
      <c r="K11" s="23" t="s">
        <v>21</v>
      </c>
      <c r="L11" s="23" t="s">
        <v>59</v>
      </c>
      <c r="M11" s="23" t="s">
        <v>59</v>
      </c>
      <c r="N11" s="23" t="s">
        <v>59</v>
      </c>
      <c r="O11" s="23" t="s">
        <v>59</v>
      </c>
      <c r="P11" s="23" t="s">
        <v>59</v>
      </c>
      <c r="Q11" s="25">
        <v>8981248.75</v>
      </c>
      <c r="R11" s="25">
        <v>89024.55</v>
      </c>
      <c r="S11" s="30">
        <v>874348.61</v>
      </c>
      <c r="T11" s="25">
        <v>219262.98</v>
      </c>
      <c r="U11" s="25">
        <v>10163884.890000001</v>
      </c>
      <c r="V11" s="25" t="s">
        <v>99</v>
      </c>
      <c r="W11" s="28">
        <v>0.7</v>
      </c>
      <c r="X11" s="23">
        <v>1</v>
      </c>
      <c r="Y11" s="23">
        <v>1</v>
      </c>
      <c r="Z11" s="23" t="s">
        <v>58</v>
      </c>
      <c r="AA11" s="23" t="s">
        <v>100</v>
      </c>
      <c r="AB11" s="23" t="s">
        <v>95</v>
      </c>
      <c r="AC11" s="23" t="s">
        <v>79</v>
      </c>
      <c r="AD11" s="23" t="s">
        <v>101</v>
      </c>
      <c r="AE11" s="26" t="s">
        <v>6</v>
      </c>
    </row>
    <row r="12" spans="1:31" ht="120" customHeight="1" x14ac:dyDescent="0.25">
      <c r="A12" s="14">
        <f t="shared" si="0"/>
        <v>11</v>
      </c>
      <c r="B12" s="22">
        <v>44159</v>
      </c>
      <c r="C12" s="23" t="s">
        <v>76</v>
      </c>
      <c r="D12" s="23" t="s">
        <v>77</v>
      </c>
      <c r="E12" s="24">
        <v>1</v>
      </c>
      <c r="F12" s="15" t="s">
        <v>102</v>
      </c>
      <c r="G12" s="23" t="s">
        <v>9</v>
      </c>
      <c r="H12" s="23" t="s">
        <v>58</v>
      </c>
      <c r="I12" s="23" t="s">
        <v>259</v>
      </c>
      <c r="J12" s="23" t="s">
        <v>92</v>
      </c>
      <c r="K12" s="23" t="s">
        <v>103</v>
      </c>
      <c r="L12" s="23" t="s">
        <v>59</v>
      </c>
      <c r="M12" s="23" t="s">
        <v>59</v>
      </c>
      <c r="N12" s="23" t="s">
        <v>59</v>
      </c>
      <c r="O12" s="23" t="s">
        <v>59</v>
      </c>
      <c r="P12" s="23" t="s">
        <v>59</v>
      </c>
      <c r="Q12" s="25">
        <f>5384840.4+8883749.77</f>
        <v>14268590.17</v>
      </c>
      <c r="R12" s="23" t="s">
        <v>59</v>
      </c>
      <c r="S12" s="24" t="s">
        <v>59</v>
      </c>
      <c r="T12" s="23" t="s">
        <v>59</v>
      </c>
      <c r="U12" s="25">
        <f>5384840.4+8883749.77</f>
        <v>14268590.17</v>
      </c>
      <c r="V12" s="25" t="s">
        <v>99</v>
      </c>
      <c r="W12" s="28">
        <v>0.7</v>
      </c>
      <c r="X12" s="23">
        <v>60</v>
      </c>
      <c r="Y12" s="23">
        <v>145</v>
      </c>
      <c r="Z12" s="23" t="s">
        <v>21</v>
      </c>
      <c r="AA12" s="23" t="s">
        <v>21</v>
      </c>
      <c r="AB12" s="23" t="s">
        <v>95</v>
      </c>
      <c r="AC12" s="23" t="s">
        <v>79</v>
      </c>
      <c r="AD12" s="23" t="s">
        <v>104</v>
      </c>
      <c r="AE12" s="26" t="s">
        <v>6</v>
      </c>
    </row>
    <row r="13" spans="1:31" ht="120" customHeight="1" x14ac:dyDescent="0.25">
      <c r="A13" s="14">
        <f t="shared" si="0"/>
        <v>12</v>
      </c>
      <c r="B13" s="22">
        <v>43986</v>
      </c>
      <c r="C13" s="23" t="s">
        <v>76</v>
      </c>
      <c r="D13" s="23" t="s">
        <v>77</v>
      </c>
      <c r="E13" s="24">
        <v>5</v>
      </c>
      <c r="F13" s="15" t="s">
        <v>105</v>
      </c>
      <c r="G13" s="23" t="s">
        <v>165</v>
      </c>
      <c r="H13" s="23" t="s">
        <v>58</v>
      </c>
      <c r="I13" s="23" t="s">
        <v>181</v>
      </c>
      <c r="J13" s="23" t="s">
        <v>106</v>
      </c>
      <c r="K13" s="23" t="s">
        <v>103</v>
      </c>
      <c r="L13" s="25">
        <v>961525.76000000001</v>
      </c>
      <c r="M13" s="23" t="s">
        <v>59</v>
      </c>
      <c r="N13" s="23" t="s">
        <v>59</v>
      </c>
      <c r="O13" s="23" t="s">
        <v>59</v>
      </c>
      <c r="P13" s="23" t="s">
        <v>59</v>
      </c>
      <c r="Q13" s="23" t="s">
        <v>59</v>
      </c>
      <c r="R13" s="23" t="s">
        <v>59</v>
      </c>
      <c r="S13" s="24" t="s">
        <v>59</v>
      </c>
      <c r="T13" s="23" t="s">
        <v>59</v>
      </c>
      <c r="U13" s="25">
        <f>L13-V13</f>
        <v>913222.81400000001</v>
      </c>
      <c r="V13" s="25">
        <f>161009.82*30%</f>
        <v>48302.946000000004</v>
      </c>
      <c r="W13" s="29">
        <f>V13/L13</f>
        <v>5.0235727433865111E-2</v>
      </c>
      <c r="X13" s="23">
        <v>60</v>
      </c>
      <c r="Y13" s="23">
        <v>84</v>
      </c>
      <c r="Z13" s="23" t="s">
        <v>21</v>
      </c>
      <c r="AA13" s="23" t="s">
        <v>21</v>
      </c>
      <c r="AB13" s="23" t="s">
        <v>95</v>
      </c>
      <c r="AC13" s="23" t="s">
        <v>107</v>
      </c>
      <c r="AD13" s="23" t="s">
        <v>108</v>
      </c>
      <c r="AE13" s="26" t="s">
        <v>6</v>
      </c>
    </row>
    <row r="14" spans="1:31" ht="120" customHeight="1" x14ac:dyDescent="0.25">
      <c r="A14" s="14">
        <f t="shared" si="0"/>
        <v>13</v>
      </c>
      <c r="B14" s="22">
        <v>44097</v>
      </c>
      <c r="C14" s="23" t="s">
        <v>76</v>
      </c>
      <c r="D14" s="23" t="s">
        <v>77</v>
      </c>
      <c r="E14" s="24">
        <v>1</v>
      </c>
      <c r="F14" s="15" t="s">
        <v>109</v>
      </c>
      <c r="G14" s="23" t="s">
        <v>9</v>
      </c>
      <c r="H14" s="23" t="s">
        <v>58</v>
      </c>
      <c r="I14" s="23" t="s">
        <v>243</v>
      </c>
      <c r="J14" s="23" t="s">
        <v>92</v>
      </c>
      <c r="K14" s="23" t="s">
        <v>21</v>
      </c>
      <c r="L14" s="25">
        <v>61699901.700000003</v>
      </c>
      <c r="M14" s="23" t="s">
        <v>59</v>
      </c>
      <c r="N14" s="23" t="s">
        <v>59</v>
      </c>
      <c r="O14" s="23" t="s">
        <v>59</v>
      </c>
      <c r="P14" s="23" t="s">
        <v>59</v>
      </c>
      <c r="Q14" s="25">
        <v>30297882.43</v>
      </c>
      <c r="R14" s="25">
        <v>111487</v>
      </c>
      <c r="S14" s="30">
        <v>363955.81</v>
      </c>
      <c r="T14" s="25">
        <v>103287.78</v>
      </c>
      <c r="U14" s="25">
        <f>25356426.68+5493524.17</f>
        <v>30849950.850000001</v>
      </c>
      <c r="V14" s="25">
        <f>25356426.68+5493524.17</f>
        <v>30849950.850000001</v>
      </c>
      <c r="W14" s="29">
        <f>V14/L14</f>
        <v>0.5</v>
      </c>
      <c r="X14" s="23">
        <v>0</v>
      </c>
      <c r="Y14" s="23">
        <v>84</v>
      </c>
      <c r="Z14" s="23" t="s">
        <v>21</v>
      </c>
      <c r="AA14" s="23" t="s">
        <v>21</v>
      </c>
      <c r="AB14" s="23" t="s">
        <v>95</v>
      </c>
      <c r="AC14" s="23" t="s">
        <v>110</v>
      </c>
      <c r="AD14" s="23" t="s">
        <v>111</v>
      </c>
      <c r="AE14" s="26" t="s">
        <v>6</v>
      </c>
    </row>
    <row r="15" spans="1:31" ht="120" customHeight="1" x14ac:dyDescent="0.25">
      <c r="A15" s="14">
        <f t="shared" si="0"/>
        <v>14</v>
      </c>
      <c r="B15" s="22">
        <v>43908</v>
      </c>
      <c r="C15" s="23" t="s">
        <v>76</v>
      </c>
      <c r="D15" s="23" t="s">
        <v>112</v>
      </c>
      <c r="E15" s="24">
        <v>1</v>
      </c>
      <c r="F15" s="15" t="s">
        <v>113</v>
      </c>
      <c r="G15" s="23" t="s">
        <v>9</v>
      </c>
      <c r="H15" s="23" t="s">
        <v>14</v>
      </c>
      <c r="I15" s="23" t="s">
        <v>64</v>
      </c>
      <c r="J15" s="23" t="s">
        <v>106</v>
      </c>
      <c r="K15" s="23" t="s">
        <v>114</v>
      </c>
      <c r="L15" s="23" t="s">
        <v>59</v>
      </c>
      <c r="M15" s="23" t="s">
        <v>59</v>
      </c>
      <c r="N15" s="23" t="s">
        <v>59</v>
      </c>
      <c r="O15" s="23" t="s">
        <v>59</v>
      </c>
      <c r="P15" s="23" t="s">
        <v>59</v>
      </c>
      <c r="Q15" s="23" t="s">
        <v>59</v>
      </c>
      <c r="R15" s="23" t="s">
        <v>59</v>
      </c>
      <c r="S15" s="24" t="s">
        <v>59</v>
      </c>
      <c r="T15" s="23" t="s">
        <v>59</v>
      </c>
      <c r="U15" s="23" t="s">
        <v>59</v>
      </c>
      <c r="V15" s="25">
        <f>464741.02*2</f>
        <v>929482.04</v>
      </c>
      <c r="W15" s="29">
        <v>0.5</v>
      </c>
      <c r="X15" s="23">
        <v>1</v>
      </c>
      <c r="Y15" s="23">
        <v>1</v>
      </c>
      <c r="Z15" s="23" t="s">
        <v>58</v>
      </c>
      <c r="AA15" s="23" t="s">
        <v>115</v>
      </c>
      <c r="AB15" s="23" t="s">
        <v>95</v>
      </c>
      <c r="AC15" s="23" t="s">
        <v>116</v>
      </c>
      <c r="AD15" s="23" t="s">
        <v>111</v>
      </c>
      <c r="AE15" s="26" t="s">
        <v>6</v>
      </c>
    </row>
    <row r="16" spans="1:31" ht="120" customHeight="1" x14ac:dyDescent="0.25">
      <c r="A16" s="14">
        <f t="shared" si="0"/>
        <v>15</v>
      </c>
      <c r="B16" s="22">
        <v>43907</v>
      </c>
      <c r="C16" s="23" t="s">
        <v>76</v>
      </c>
      <c r="D16" s="23" t="s">
        <v>117</v>
      </c>
      <c r="E16" s="24">
        <v>1</v>
      </c>
      <c r="F16" s="15" t="s">
        <v>118</v>
      </c>
      <c r="G16" s="23" t="s">
        <v>9</v>
      </c>
      <c r="H16" s="23" t="s">
        <v>58</v>
      </c>
      <c r="I16" s="23" t="s">
        <v>19</v>
      </c>
      <c r="J16" s="23" t="s">
        <v>106</v>
      </c>
      <c r="K16" s="23" t="s">
        <v>21</v>
      </c>
      <c r="L16" s="25">
        <f>U16+V16</f>
        <v>25837321.539999999</v>
      </c>
      <c r="M16" s="23" t="s">
        <v>59</v>
      </c>
      <c r="N16" s="23" t="s">
        <v>59</v>
      </c>
      <c r="O16" s="23" t="s">
        <v>59</v>
      </c>
      <c r="P16" s="23" t="s">
        <v>59</v>
      </c>
      <c r="Q16" s="25">
        <v>9085043.1899999995</v>
      </c>
      <c r="R16" s="25">
        <v>6101456.2599999998</v>
      </c>
      <c r="S16" s="30">
        <v>3195930.34</v>
      </c>
      <c r="T16" s="25">
        <v>1520841.86</v>
      </c>
      <c r="U16" s="25">
        <v>19903271.649999999</v>
      </c>
      <c r="V16" s="25">
        <v>5934049.8899999997</v>
      </c>
      <c r="W16" s="28">
        <f>V16/U16</f>
        <v>0.29814444551381081</v>
      </c>
      <c r="X16" s="23">
        <v>60</v>
      </c>
      <c r="Y16" s="23">
        <v>84</v>
      </c>
      <c r="Z16" s="23" t="s">
        <v>21</v>
      </c>
      <c r="AA16" s="23" t="s">
        <v>21</v>
      </c>
      <c r="AB16" s="23" t="s">
        <v>95</v>
      </c>
      <c r="AC16" s="23" t="s">
        <v>119</v>
      </c>
      <c r="AD16" s="23" t="s">
        <v>120</v>
      </c>
      <c r="AE16" s="26" t="s">
        <v>121</v>
      </c>
    </row>
    <row r="17" spans="1:31" ht="120" customHeight="1" x14ac:dyDescent="0.25">
      <c r="A17" s="14">
        <f t="shared" si="0"/>
        <v>16</v>
      </c>
      <c r="B17" s="22">
        <v>44179</v>
      </c>
      <c r="C17" s="23" t="s">
        <v>76</v>
      </c>
      <c r="D17" s="23" t="s">
        <v>77</v>
      </c>
      <c r="E17" s="24">
        <v>1</v>
      </c>
      <c r="F17" s="15" t="s">
        <v>122</v>
      </c>
      <c r="G17" s="23" t="s">
        <v>9</v>
      </c>
      <c r="H17" s="23" t="s">
        <v>58</v>
      </c>
      <c r="I17" s="23" t="s">
        <v>243</v>
      </c>
      <c r="J17" s="23" t="s">
        <v>106</v>
      </c>
      <c r="K17" s="23" t="s">
        <v>103</v>
      </c>
      <c r="L17" s="23" t="s">
        <v>59</v>
      </c>
      <c r="M17" s="23" t="s">
        <v>59</v>
      </c>
      <c r="N17" s="23" t="s">
        <v>59</v>
      </c>
      <c r="O17" s="23" t="s">
        <v>59</v>
      </c>
      <c r="P17" s="23" t="s">
        <v>59</v>
      </c>
      <c r="Q17" s="25">
        <f>13232876.53+8884030.9</f>
        <v>22116907.43</v>
      </c>
      <c r="R17" s="23" t="s">
        <v>59</v>
      </c>
      <c r="S17" s="24" t="s">
        <v>59</v>
      </c>
      <c r="T17" s="23" t="s">
        <v>59</v>
      </c>
      <c r="U17" s="25">
        <f>13232876.53+8884030.9</f>
        <v>22116907.43</v>
      </c>
      <c r="V17" s="30" t="s">
        <v>123</v>
      </c>
      <c r="W17" s="29">
        <v>0.5</v>
      </c>
      <c r="X17" s="23">
        <v>60</v>
      </c>
      <c r="Y17" s="23">
        <v>84</v>
      </c>
      <c r="Z17" s="23" t="s">
        <v>21</v>
      </c>
      <c r="AA17" s="23" t="s">
        <v>21</v>
      </c>
      <c r="AB17" s="23" t="s">
        <v>95</v>
      </c>
      <c r="AC17" s="23" t="s">
        <v>79</v>
      </c>
      <c r="AD17" s="23" t="s">
        <v>111</v>
      </c>
      <c r="AE17" s="26" t="s">
        <v>6</v>
      </c>
    </row>
    <row r="18" spans="1:31" ht="120" customHeight="1" x14ac:dyDescent="0.25">
      <c r="A18" s="14">
        <f t="shared" si="0"/>
        <v>17</v>
      </c>
      <c r="B18" s="22">
        <v>44176</v>
      </c>
      <c r="C18" s="23" t="s">
        <v>124</v>
      </c>
      <c r="D18" s="23" t="s">
        <v>125</v>
      </c>
      <c r="E18" s="24">
        <v>8</v>
      </c>
      <c r="F18" s="15" t="s">
        <v>161</v>
      </c>
      <c r="G18" s="23" t="s">
        <v>165</v>
      </c>
      <c r="H18" s="23" t="s">
        <v>14</v>
      </c>
      <c r="I18" s="15" t="s">
        <v>233</v>
      </c>
      <c r="J18" s="23" t="s">
        <v>11</v>
      </c>
      <c r="K18" s="23" t="s">
        <v>126</v>
      </c>
      <c r="L18" s="23" t="s">
        <v>59</v>
      </c>
      <c r="M18" s="23" t="s">
        <v>59</v>
      </c>
      <c r="N18" s="23" t="s">
        <v>59</v>
      </c>
      <c r="O18" s="23" t="s">
        <v>59</v>
      </c>
      <c r="P18" s="23" t="s">
        <v>59</v>
      </c>
      <c r="Q18" s="23" t="s">
        <v>59</v>
      </c>
      <c r="R18" s="23" t="s">
        <v>59</v>
      </c>
      <c r="S18" s="39" t="s">
        <v>127</v>
      </c>
      <c r="T18" s="25" t="s">
        <v>126</v>
      </c>
      <c r="U18" s="25" t="s">
        <v>126</v>
      </c>
      <c r="V18" s="25" t="s">
        <v>126</v>
      </c>
      <c r="W18" s="25" t="s">
        <v>126</v>
      </c>
      <c r="X18" s="23">
        <v>36</v>
      </c>
      <c r="Y18" s="23">
        <v>36</v>
      </c>
      <c r="Z18" s="23" t="s">
        <v>14</v>
      </c>
      <c r="AA18" s="23" t="s">
        <v>128</v>
      </c>
      <c r="AB18" s="23" t="s">
        <v>14</v>
      </c>
      <c r="AC18" s="23" t="s">
        <v>129</v>
      </c>
      <c r="AD18" s="23" t="s">
        <v>130</v>
      </c>
      <c r="AE18" s="26" t="s">
        <v>6</v>
      </c>
    </row>
    <row r="19" spans="1:31" ht="120" customHeight="1" x14ac:dyDescent="0.25">
      <c r="A19" s="14">
        <f t="shared" si="0"/>
        <v>18</v>
      </c>
      <c r="B19" s="22">
        <v>44161</v>
      </c>
      <c r="C19" s="23" t="s">
        <v>124</v>
      </c>
      <c r="D19" s="23" t="s">
        <v>131</v>
      </c>
      <c r="E19" s="15">
        <v>8</v>
      </c>
      <c r="F19" s="15" t="s">
        <v>164</v>
      </c>
      <c r="G19" s="23" t="s">
        <v>9</v>
      </c>
      <c r="H19" s="23" t="s">
        <v>58</v>
      </c>
      <c r="I19" s="23" t="s">
        <v>243</v>
      </c>
      <c r="J19" s="23" t="s">
        <v>11</v>
      </c>
      <c r="K19" s="23" t="s">
        <v>18</v>
      </c>
      <c r="L19" s="25">
        <v>27360632.940000001</v>
      </c>
      <c r="M19" s="23" t="s">
        <v>126</v>
      </c>
      <c r="N19" s="23" t="s">
        <v>126</v>
      </c>
      <c r="O19" s="23" t="s">
        <v>126</v>
      </c>
      <c r="P19" s="23" t="s">
        <v>126</v>
      </c>
      <c r="Q19" s="25">
        <f t="shared" ref="Q19" si="1">L19-R19</f>
        <v>13680316.470000001</v>
      </c>
      <c r="R19" s="25">
        <v>13680316.470000001</v>
      </c>
      <c r="S19" s="39">
        <v>0.5</v>
      </c>
      <c r="T19" s="25">
        <v>3129073.11</v>
      </c>
      <c r="U19" s="25">
        <v>1999015.8</v>
      </c>
      <c r="V19" s="25">
        <v>6566602.9000000004</v>
      </c>
      <c r="W19" s="25">
        <v>1985624.66</v>
      </c>
      <c r="X19" s="23">
        <v>0</v>
      </c>
      <c r="Y19" s="23">
        <v>78</v>
      </c>
      <c r="Z19" s="23" t="s">
        <v>21</v>
      </c>
      <c r="AA19" s="23" t="s">
        <v>132</v>
      </c>
      <c r="AB19" s="31" t="s">
        <v>133</v>
      </c>
      <c r="AC19" s="23" t="s">
        <v>134</v>
      </c>
      <c r="AD19" s="23" t="s">
        <v>135</v>
      </c>
      <c r="AE19" s="26" t="s">
        <v>6</v>
      </c>
    </row>
    <row r="20" spans="1:31" ht="120" customHeight="1" x14ac:dyDescent="0.25">
      <c r="A20" s="14">
        <f t="shared" si="0"/>
        <v>19</v>
      </c>
      <c r="B20" s="22">
        <v>44139</v>
      </c>
      <c r="C20" s="23" t="s">
        <v>124</v>
      </c>
      <c r="D20" s="23" t="s">
        <v>136</v>
      </c>
      <c r="E20" s="15">
        <v>17</v>
      </c>
      <c r="F20" s="15" t="s">
        <v>137</v>
      </c>
      <c r="G20" s="23" t="s">
        <v>9</v>
      </c>
      <c r="H20" s="23" t="s">
        <v>58</v>
      </c>
      <c r="I20" s="23" t="s">
        <v>259</v>
      </c>
      <c r="J20" s="23" t="s">
        <v>11</v>
      </c>
      <c r="K20" s="23" t="s">
        <v>39</v>
      </c>
      <c r="L20" s="23" t="s">
        <v>126</v>
      </c>
      <c r="M20" s="23" t="s">
        <v>126</v>
      </c>
      <c r="N20" s="23" t="s">
        <v>126</v>
      </c>
      <c r="O20" s="23" t="s">
        <v>126</v>
      </c>
      <c r="P20" s="23" t="s">
        <v>126</v>
      </c>
      <c r="Q20" s="23" t="s">
        <v>126</v>
      </c>
      <c r="R20" s="23" t="s">
        <v>126</v>
      </c>
      <c r="S20" s="39">
        <v>0.625</v>
      </c>
      <c r="T20" s="25">
        <v>19785339.329999998</v>
      </c>
      <c r="U20" s="25">
        <v>733874.21</v>
      </c>
      <c r="V20" s="25">
        <v>1502403.92</v>
      </c>
      <c r="W20" s="25">
        <v>615195.24</v>
      </c>
      <c r="X20" s="23">
        <v>60</v>
      </c>
      <c r="Y20" s="23">
        <v>84</v>
      </c>
      <c r="Z20" s="23" t="s">
        <v>58</v>
      </c>
      <c r="AA20" s="23" t="s">
        <v>115</v>
      </c>
      <c r="AB20" s="31" t="s">
        <v>138</v>
      </c>
      <c r="AC20" s="23" t="s">
        <v>139</v>
      </c>
      <c r="AD20" s="23" t="s">
        <v>140</v>
      </c>
      <c r="AE20" s="26" t="s">
        <v>6</v>
      </c>
    </row>
    <row r="21" spans="1:31" ht="120" customHeight="1" x14ac:dyDescent="0.25">
      <c r="A21" s="14">
        <f t="shared" si="0"/>
        <v>20</v>
      </c>
      <c r="B21" s="22">
        <v>44127</v>
      </c>
      <c r="C21" s="23" t="s">
        <v>124</v>
      </c>
      <c r="D21" s="23" t="s">
        <v>131</v>
      </c>
      <c r="E21" s="23">
        <v>1</v>
      </c>
      <c r="F21" s="15" t="s">
        <v>141</v>
      </c>
      <c r="G21" s="23" t="s">
        <v>9</v>
      </c>
      <c r="H21" s="23" t="s">
        <v>58</v>
      </c>
      <c r="I21" s="23" t="s">
        <v>263</v>
      </c>
      <c r="J21" s="23" t="s">
        <v>11</v>
      </c>
      <c r="K21" s="23" t="s">
        <v>39</v>
      </c>
      <c r="L21" s="25">
        <f>334182840.98</f>
        <v>334182840.98000002</v>
      </c>
      <c r="M21" s="23" t="s">
        <v>126</v>
      </c>
      <c r="N21" s="23" t="s">
        <v>126</v>
      </c>
      <c r="O21" s="23" t="s">
        <v>126</v>
      </c>
      <c r="P21" s="23" t="s">
        <v>126</v>
      </c>
      <c r="Q21" s="25">
        <f>162883347.83+15551864.79</f>
        <v>178435212.62</v>
      </c>
      <c r="R21" s="25">
        <f>L21-Q21</f>
        <v>155747628.36000001</v>
      </c>
      <c r="S21" s="42">
        <f>R21/L21</f>
        <v>0.46605513288254413</v>
      </c>
      <c r="T21" s="25">
        <v>165029438.50999999</v>
      </c>
      <c r="U21" s="25">
        <v>904152.52</v>
      </c>
      <c r="V21" s="25">
        <v>6293211.3799999999</v>
      </c>
      <c r="W21" s="25">
        <v>906746.32</v>
      </c>
      <c r="X21" s="23">
        <v>60</v>
      </c>
      <c r="Y21" s="23">
        <v>145</v>
      </c>
      <c r="Z21" s="23" t="s">
        <v>14</v>
      </c>
      <c r="AA21" s="23" t="s">
        <v>142</v>
      </c>
      <c r="AB21" s="23" t="s">
        <v>14</v>
      </c>
      <c r="AC21" s="23" t="s">
        <v>143</v>
      </c>
      <c r="AD21" s="23" t="s">
        <v>144</v>
      </c>
      <c r="AE21" s="26" t="s">
        <v>6</v>
      </c>
    </row>
    <row r="22" spans="1:31" ht="120" customHeight="1" x14ac:dyDescent="0.25">
      <c r="A22" s="14">
        <f t="shared" si="0"/>
        <v>21</v>
      </c>
      <c r="B22" s="22">
        <v>43952</v>
      </c>
      <c r="C22" s="23" t="s">
        <v>124</v>
      </c>
      <c r="D22" s="23" t="s">
        <v>145</v>
      </c>
      <c r="E22" s="23">
        <v>1</v>
      </c>
      <c r="F22" s="15" t="s">
        <v>146</v>
      </c>
      <c r="G22" s="23" t="s">
        <v>53</v>
      </c>
      <c r="H22" s="23" t="s">
        <v>58</v>
      </c>
      <c r="I22" s="23" t="s">
        <v>31</v>
      </c>
      <c r="J22" s="23" t="s">
        <v>11</v>
      </c>
      <c r="K22" s="23" t="s">
        <v>18</v>
      </c>
      <c r="L22" s="25">
        <f>(936648.4*100)/5</f>
        <v>18732968</v>
      </c>
      <c r="M22" s="23" t="s">
        <v>59</v>
      </c>
      <c r="N22" s="23" t="s">
        <v>59</v>
      </c>
      <c r="O22" s="23" t="s">
        <v>59</v>
      </c>
      <c r="P22" s="23" t="s">
        <v>59</v>
      </c>
      <c r="Q22" s="25">
        <f>L22-R22</f>
        <v>8263861.5035199989</v>
      </c>
      <c r="R22" s="25">
        <f>L22*S22</f>
        <v>10469106.496480001</v>
      </c>
      <c r="S22" s="39">
        <v>0.55886000000000002</v>
      </c>
      <c r="T22" s="25">
        <v>3701857.53</v>
      </c>
      <c r="U22" s="25">
        <v>833488.67</v>
      </c>
      <c r="V22" s="25">
        <v>2653633.4500000002</v>
      </c>
      <c r="W22" s="25">
        <v>919688.07</v>
      </c>
      <c r="X22" s="23">
        <v>1</v>
      </c>
      <c r="Y22" s="23">
        <v>1</v>
      </c>
      <c r="Z22" s="23" t="s">
        <v>58</v>
      </c>
      <c r="AA22" s="23" t="s">
        <v>115</v>
      </c>
      <c r="AB22" s="23" t="s">
        <v>147</v>
      </c>
      <c r="AC22" s="23" t="s">
        <v>148</v>
      </c>
      <c r="AD22" s="23" t="s">
        <v>149</v>
      </c>
      <c r="AE22" s="26" t="s">
        <v>6</v>
      </c>
    </row>
    <row r="23" spans="1:31" ht="120" customHeight="1" x14ac:dyDescent="0.25">
      <c r="A23" s="14">
        <f t="shared" si="0"/>
        <v>22</v>
      </c>
      <c r="B23" s="22">
        <v>43983</v>
      </c>
      <c r="C23" s="23" t="s">
        <v>124</v>
      </c>
      <c r="D23" s="23" t="s">
        <v>131</v>
      </c>
      <c r="E23" s="23">
        <v>1</v>
      </c>
      <c r="F23" s="15" t="s">
        <v>150</v>
      </c>
      <c r="G23" s="23" t="s">
        <v>9</v>
      </c>
      <c r="H23" s="23" t="s">
        <v>58</v>
      </c>
      <c r="I23" s="23" t="s">
        <v>233</v>
      </c>
      <c r="J23" s="23" t="s">
        <v>11</v>
      </c>
      <c r="K23" s="23" t="s">
        <v>39</v>
      </c>
      <c r="L23" s="25">
        <f>14738100.94+1606639.56</f>
        <v>16344740.5</v>
      </c>
      <c r="M23" s="23" t="s">
        <v>59</v>
      </c>
      <c r="N23" s="23" t="s">
        <v>59</v>
      </c>
      <c r="O23" s="23" t="s">
        <v>59</v>
      </c>
      <c r="P23" s="23" t="s">
        <v>59</v>
      </c>
      <c r="Q23" s="25">
        <f>9508653.98+1039189.49</f>
        <v>10547843.470000001</v>
      </c>
      <c r="R23" s="25">
        <f>5229446.97+1039189.49</f>
        <v>6268636.46</v>
      </c>
      <c r="S23" s="39">
        <f>R23/L23</f>
        <v>0.38352621505370488</v>
      </c>
      <c r="T23" s="25" t="s">
        <v>126</v>
      </c>
      <c r="U23" s="25" t="s">
        <v>126</v>
      </c>
      <c r="V23" s="25" t="s">
        <v>126</v>
      </c>
      <c r="W23" s="25" t="s">
        <v>126</v>
      </c>
      <c r="X23" s="23">
        <v>1</v>
      </c>
      <c r="Y23" s="23">
        <v>1</v>
      </c>
      <c r="Z23" s="23" t="s">
        <v>58</v>
      </c>
      <c r="AA23" s="23" t="s">
        <v>115</v>
      </c>
      <c r="AB23" s="23" t="s">
        <v>151</v>
      </c>
      <c r="AC23" s="23" t="s">
        <v>152</v>
      </c>
      <c r="AD23" s="23" t="s">
        <v>153</v>
      </c>
      <c r="AE23" s="26" t="s">
        <v>6</v>
      </c>
    </row>
    <row r="24" spans="1:31" ht="120" customHeight="1" x14ac:dyDescent="0.25">
      <c r="A24" s="14">
        <f t="shared" si="0"/>
        <v>23</v>
      </c>
      <c r="B24" s="22">
        <v>44043</v>
      </c>
      <c r="C24" s="23" t="s">
        <v>124</v>
      </c>
      <c r="D24" s="23" t="s">
        <v>154</v>
      </c>
      <c r="E24" s="23">
        <v>6</v>
      </c>
      <c r="F24" s="15" t="s">
        <v>162</v>
      </c>
      <c r="G24" s="23" t="s">
        <v>9</v>
      </c>
      <c r="H24" s="23" t="s">
        <v>14</v>
      </c>
      <c r="I24" s="23" t="s">
        <v>202</v>
      </c>
      <c r="J24" s="23" t="s">
        <v>11</v>
      </c>
      <c r="K24" s="23" t="s">
        <v>39</v>
      </c>
      <c r="L24" s="23" t="s">
        <v>59</v>
      </c>
      <c r="M24" s="23" t="s">
        <v>59</v>
      </c>
      <c r="N24" s="23" t="s">
        <v>59</v>
      </c>
      <c r="O24" s="23" t="s">
        <v>59</v>
      </c>
      <c r="P24" s="23" t="s">
        <v>59</v>
      </c>
      <c r="Q24" s="25">
        <f>T24+U24+V24+W24</f>
        <v>67975739.379999995</v>
      </c>
      <c r="R24" s="25" t="s">
        <v>126</v>
      </c>
      <c r="S24" s="30" t="s">
        <v>126</v>
      </c>
      <c r="T24" s="25">
        <v>62621065.32</v>
      </c>
      <c r="U24" s="25">
        <v>1391738.22</v>
      </c>
      <c r="V24" s="25">
        <v>3248445.42</v>
      </c>
      <c r="W24" s="25">
        <v>714490.42</v>
      </c>
      <c r="X24" s="23">
        <v>60</v>
      </c>
      <c r="Y24" s="23">
        <v>84</v>
      </c>
      <c r="Z24" s="23" t="s">
        <v>14</v>
      </c>
      <c r="AA24" s="23" t="s">
        <v>155</v>
      </c>
      <c r="AB24" s="31" t="s">
        <v>138</v>
      </c>
      <c r="AC24" s="23" t="s">
        <v>156</v>
      </c>
      <c r="AD24" s="23" t="s">
        <v>225</v>
      </c>
      <c r="AE24" s="26" t="s">
        <v>6</v>
      </c>
    </row>
    <row r="25" spans="1:31" ht="120" customHeight="1" x14ac:dyDescent="0.25">
      <c r="A25" s="14">
        <f t="shared" si="0"/>
        <v>24</v>
      </c>
      <c r="B25" s="22">
        <v>44195</v>
      </c>
      <c r="C25" s="23" t="s">
        <v>76</v>
      </c>
      <c r="D25" s="23" t="s">
        <v>77</v>
      </c>
      <c r="E25" s="23">
        <v>3</v>
      </c>
      <c r="F25" s="15" t="s">
        <v>210</v>
      </c>
      <c r="G25" s="23" t="s">
        <v>9</v>
      </c>
      <c r="H25" s="23" t="s">
        <v>14</v>
      </c>
      <c r="I25" s="23" t="s">
        <v>241</v>
      </c>
      <c r="J25" s="23" t="s">
        <v>11</v>
      </c>
      <c r="K25" s="23" t="s">
        <v>39</v>
      </c>
      <c r="L25" s="23" t="s">
        <v>59</v>
      </c>
      <c r="M25" s="23" t="s">
        <v>59</v>
      </c>
      <c r="N25" s="23" t="s">
        <v>59</v>
      </c>
      <c r="O25" s="23" t="s">
        <v>59</v>
      </c>
      <c r="P25" s="23" t="s">
        <v>59</v>
      </c>
      <c r="Q25" s="23" t="s">
        <v>59</v>
      </c>
      <c r="R25" s="23" t="s">
        <v>59</v>
      </c>
      <c r="S25" s="39">
        <v>0.5</v>
      </c>
      <c r="T25" s="23" t="s">
        <v>59</v>
      </c>
      <c r="U25" s="23" t="s">
        <v>59</v>
      </c>
      <c r="V25" s="23" t="s">
        <v>59</v>
      </c>
      <c r="W25" s="23" t="s">
        <v>59</v>
      </c>
      <c r="X25" s="23">
        <v>60</v>
      </c>
      <c r="Y25" s="23">
        <v>145</v>
      </c>
      <c r="Z25" s="23" t="s">
        <v>21</v>
      </c>
      <c r="AA25" s="23" t="s">
        <v>21</v>
      </c>
      <c r="AB25" s="31"/>
      <c r="AC25" s="23" t="s">
        <v>204</v>
      </c>
      <c r="AD25" s="23" t="s">
        <v>203</v>
      </c>
      <c r="AE25" s="26" t="s">
        <v>6</v>
      </c>
    </row>
    <row r="26" spans="1:31" ht="120" customHeight="1" x14ac:dyDescent="0.25">
      <c r="A26" s="14">
        <f t="shared" si="0"/>
        <v>25</v>
      </c>
      <c r="B26" s="22">
        <v>44195</v>
      </c>
      <c r="C26" s="23" t="s">
        <v>7</v>
      </c>
      <c r="D26" s="23" t="s">
        <v>16</v>
      </c>
      <c r="E26" s="23">
        <v>3</v>
      </c>
      <c r="F26" s="15" t="s">
        <v>208</v>
      </c>
      <c r="G26" s="23" t="s">
        <v>165</v>
      </c>
      <c r="H26" s="23" t="s">
        <v>58</v>
      </c>
      <c r="I26" s="23" t="s">
        <v>241</v>
      </c>
      <c r="J26" s="23" t="s">
        <v>11</v>
      </c>
      <c r="K26" s="23" t="s">
        <v>39</v>
      </c>
      <c r="L26" s="25">
        <v>60898109.439999998</v>
      </c>
      <c r="M26" s="23" t="s">
        <v>59</v>
      </c>
      <c r="N26" s="23" t="s">
        <v>59</v>
      </c>
      <c r="O26" s="23" t="s">
        <v>59</v>
      </c>
      <c r="P26" s="23" t="s">
        <v>59</v>
      </c>
      <c r="Q26" s="25">
        <v>34515556.759999998</v>
      </c>
      <c r="R26" s="23" t="s">
        <v>59</v>
      </c>
      <c r="S26" s="30" t="s">
        <v>206</v>
      </c>
      <c r="T26" s="23" t="s">
        <v>59</v>
      </c>
      <c r="U26" s="23" t="s">
        <v>59</v>
      </c>
      <c r="V26" s="23" t="s">
        <v>59</v>
      </c>
      <c r="W26" s="23" t="s">
        <v>59</v>
      </c>
      <c r="X26" s="23">
        <v>60</v>
      </c>
      <c r="Y26" s="23">
        <v>84</v>
      </c>
      <c r="Z26" s="23" t="s">
        <v>14</v>
      </c>
      <c r="AA26" s="23" t="s">
        <v>190</v>
      </c>
      <c r="AB26" s="31"/>
      <c r="AC26" s="23" t="s">
        <v>207</v>
      </c>
      <c r="AD26" s="23" t="s">
        <v>205</v>
      </c>
      <c r="AE26" s="26" t="s">
        <v>6</v>
      </c>
    </row>
    <row r="27" spans="1:31" ht="120" customHeight="1" x14ac:dyDescent="0.25">
      <c r="A27" s="14">
        <f t="shared" si="0"/>
        <v>26</v>
      </c>
      <c r="B27" s="22">
        <v>44006</v>
      </c>
      <c r="C27" s="23" t="s">
        <v>124</v>
      </c>
      <c r="D27" s="23" t="s">
        <v>211</v>
      </c>
      <c r="E27" s="23">
        <v>4</v>
      </c>
      <c r="F27" s="15" t="s">
        <v>212</v>
      </c>
      <c r="G27" s="23" t="s">
        <v>165</v>
      </c>
      <c r="H27" s="23" t="s">
        <v>58</v>
      </c>
      <c r="I27" s="23" t="s">
        <v>202</v>
      </c>
      <c r="J27" s="23" t="s">
        <v>11</v>
      </c>
      <c r="K27" s="23" t="s">
        <v>39</v>
      </c>
      <c r="L27" s="25">
        <v>185597146.62</v>
      </c>
      <c r="M27" s="23" t="s">
        <v>21</v>
      </c>
      <c r="N27" s="23" t="s">
        <v>21</v>
      </c>
      <c r="O27" s="23" t="s">
        <v>21</v>
      </c>
      <c r="P27" s="23" t="s">
        <v>21</v>
      </c>
      <c r="Q27" s="23" t="s">
        <v>21</v>
      </c>
      <c r="R27" s="25" t="s">
        <v>21</v>
      </c>
      <c r="S27" s="30" t="s">
        <v>213</v>
      </c>
      <c r="T27" s="25" t="s">
        <v>21</v>
      </c>
      <c r="U27" s="25" t="s">
        <v>21</v>
      </c>
      <c r="V27" s="25" t="s">
        <v>21</v>
      </c>
      <c r="W27" s="25" t="s">
        <v>21</v>
      </c>
      <c r="X27" s="23">
        <v>60</v>
      </c>
      <c r="Y27" s="23" t="s">
        <v>214</v>
      </c>
      <c r="Z27" s="23" t="s">
        <v>14</v>
      </c>
      <c r="AA27" s="23" t="s">
        <v>215</v>
      </c>
      <c r="AB27" s="31"/>
      <c r="AC27" s="23" t="s">
        <v>216</v>
      </c>
      <c r="AD27" s="23" t="s">
        <v>217</v>
      </c>
      <c r="AE27" s="26" t="s">
        <v>6</v>
      </c>
    </row>
    <row r="28" spans="1:31" ht="120" customHeight="1" x14ac:dyDescent="0.25">
      <c r="A28" s="14">
        <f t="shared" si="0"/>
        <v>27</v>
      </c>
      <c r="B28" s="22">
        <v>44193</v>
      </c>
      <c r="C28" s="23" t="s">
        <v>124</v>
      </c>
      <c r="D28" s="23" t="s">
        <v>136</v>
      </c>
      <c r="E28" s="15">
        <v>11</v>
      </c>
      <c r="F28" s="15" t="s">
        <v>163</v>
      </c>
      <c r="G28" s="23" t="s">
        <v>9</v>
      </c>
      <c r="H28" s="23" t="s">
        <v>58</v>
      </c>
      <c r="I28" s="23" t="s">
        <v>259</v>
      </c>
      <c r="J28" s="23" t="s">
        <v>11</v>
      </c>
      <c r="K28" s="23" t="s">
        <v>39</v>
      </c>
      <c r="L28" s="23" t="s">
        <v>59</v>
      </c>
      <c r="M28" s="23" t="s">
        <v>59</v>
      </c>
      <c r="N28" s="23" t="s">
        <v>59</v>
      </c>
      <c r="O28" s="23" t="s">
        <v>59</v>
      </c>
      <c r="P28" s="23" t="s">
        <v>59</v>
      </c>
      <c r="Q28" s="23" t="s">
        <v>59</v>
      </c>
      <c r="R28" s="23" t="s">
        <v>59</v>
      </c>
      <c r="S28" s="39" t="s">
        <v>157</v>
      </c>
      <c r="T28" s="25">
        <v>26221873.98</v>
      </c>
      <c r="U28" s="25">
        <v>514473.54</v>
      </c>
      <c r="V28" s="25">
        <v>1788450.13</v>
      </c>
      <c r="W28" s="25">
        <v>610525.74</v>
      </c>
      <c r="X28" s="23">
        <v>60</v>
      </c>
      <c r="Y28" s="23">
        <v>114</v>
      </c>
      <c r="Z28" s="23" t="s">
        <v>14</v>
      </c>
      <c r="AA28" s="23" t="s">
        <v>158</v>
      </c>
      <c r="AB28" s="31" t="s">
        <v>138</v>
      </c>
      <c r="AC28" s="23" t="s">
        <v>159</v>
      </c>
      <c r="AD28" s="23" t="s">
        <v>160</v>
      </c>
      <c r="AE28" s="26" t="s">
        <v>6</v>
      </c>
    </row>
    <row r="29" spans="1:31" ht="120" customHeight="1" x14ac:dyDescent="0.25">
      <c r="A29" s="14"/>
      <c r="B29" s="50" t="s">
        <v>226</v>
      </c>
      <c r="C29" s="51"/>
      <c r="D29" s="52"/>
      <c r="E29" s="36">
        <f>SUM(E2:E28)</f>
        <v>85</v>
      </c>
      <c r="F29" s="37" t="s">
        <v>17</v>
      </c>
      <c r="G29" s="37" t="s">
        <v>17</v>
      </c>
      <c r="H29" s="37" t="s">
        <v>17</v>
      </c>
      <c r="I29" s="37" t="s">
        <v>17</v>
      </c>
      <c r="J29" s="37" t="s">
        <v>17</v>
      </c>
      <c r="K29" s="37" t="s">
        <v>17</v>
      </c>
      <c r="L29" s="27">
        <f>SUM(L2:L28)</f>
        <v>1475922398.7452383</v>
      </c>
      <c r="M29" s="27">
        <f>SUM(M2:M28)</f>
        <v>208879.53</v>
      </c>
      <c r="N29" s="27">
        <f t="shared" ref="N29:O29" si="2">SUM(N2:N28)</f>
        <v>124250.84</v>
      </c>
      <c r="O29" s="27">
        <f t="shared" si="2"/>
        <v>375051.26999999996</v>
      </c>
      <c r="P29" s="27">
        <f t="shared" ref="P29" si="3">SUM(P2:P28)</f>
        <v>72179.37</v>
      </c>
      <c r="Q29" s="27">
        <f t="shared" ref="Q29" si="4">SUM(Q2:Q28)</f>
        <v>822816117.31352007</v>
      </c>
      <c r="R29" s="27">
        <f t="shared" ref="R29" si="5">SUM(R2:R28)</f>
        <v>521319960.43171811</v>
      </c>
      <c r="S29" s="27" t="s">
        <v>17</v>
      </c>
      <c r="T29" s="27">
        <f t="shared" ref="T29" si="6">SUM(T2:T28)</f>
        <v>475624003.06</v>
      </c>
      <c r="U29" s="27">
        <f t="shared" ref="U29" si="7">SUM(U2:U28)</f>
        <v>153167556.08400002</v>
      </c>
      <c r="V29" s="27">
        <f t="shared" ref="V29" si="8">SUM(V2:V28)</f>
        <v>201270595.82599992</v>
      </c>
      <c r="W29" s="27">
        <f t="shared" ref="W29" si="9">SUM(W2:W28)</f>
        <v>55301985.768380173</v>
      </c>
      <c r="X29" s="38">
        <f>SUM(X2:X28)</f>
        <v>996</v>
      </c>
      <c r="Y29" s="38">
        <f>SUM(Y2:Y28)</f>
        <v>1916</v>
      </c>
      <c r="Z29" s="37" t="s">
        <v>17</v>
      </c>
      <c r="AA29" s="37" t="s">
        <v>17</v>
      </c>
      <c r="AB29" s="37"/>
      <c r="AC29" s="37" t="s">
        <v>17</v>
      </c>
      <c r="AD29" s="37" t="s">
        <v>17</v>
      </c>
      <c r="AE29" s="37" t="s">
        <v>17</v>
      </c>
    </row>
    <row r="30" spans="1:31" ht="120" customHeight="1" x14ac:dyDescent="0.25">
      <c r="A30" s="14"/>
      <c r="B30" s="50" t="s">
        <v>227</v>
      </c>
      <c r="C30" s="51"/>
      <c r="D30" s="52"/>
      <c r="E30" s="36">
        <f>E29/A28</f>
        <v>3.1481481481481484</v>
      </c>
      <c r="F30" s="37" t="s">
        <v>17</v>
      </c>
      <c r="G30" s="37" t="s">
        <v>17</v>
      </c>
      <c r="H30" s="37" t="s">
        <v>17</v>
      </c>
      <c r="I30" s="37" t="s">
        <v>17</v>
      </c>
      <c r="J30" s="37" t="s">
        <v>17</v>
      </c>
      <c r="K30" s="37" t="s">
        <v>17</v>
      </c>
      <c r="L30" s="27">
        <f>L29/A28</f>
        <v>54663792.546119936</v>
      </c>
      <c r="M30" s="27">
        <f>M29/A28</f>
        <v>7736.278888888889</v>
      </c>
      <c r="N30" s="27">
        <f>N29/A28</f>
        <v>4601.8829629629627</v>
      </c>
      <c r="O30" s="27">
        <f>O29/A28</f>
        <v>13890.787777777776</v>
      </c>
      <c r="P30" s="27">
        <f>P29/A28</f>
        <v>2673.31</v>
      </c>
      <c r="Q30" s="27">
        <f>Q29/A28</f>
        <v>30474671.011611853</v>
      </c>
      <c r="R30" s="27">
        <f>R29/A28</f>
        <v>19308146.682656225</v>
      </c>
      <c r="S30" s="27" t="s">
        <v>17</v>
      </c>
      <c r="T30" s="27">
        <f>T29/A28</f>
        <v>17615703.817037039</v>
      </c>
      <c r="U30" s="27">
        <f>U29/A28</f>
        <v>5672872.447555556</v>
      </c>
      <c r="V30" s="27">
        <f>V29/A28</f>
        <v>7454466.512074071</v>
      </c>
      <c r="W30" s="27">
        <f>W29/A28</f>
        <v>2048221.6951251915</v>
      </c>
      <c r="X30" s="38">
        <f>X29/A28</f>
        <v>36.888888888888886</v>
      </c>
      <c r="Y30" s="38">
        <f>Y29/A28</f>
        <v>70.962962962962962</v>
      </c>
      <c r="Z30" s="37" t="s">
        <v>17</v>
      </c>
      <c r="AA30" s="37" t="s">
        <v>17</v>
      </c>
      <c r="AB30" s="37"/>
      <c r="AC30" s="37" t="s">
        <v>17</v>
      </c>
      <c r="AD30" s="37" t="s">
        <v>17</v>
      </c>
      <c r="AE30" s="37" t="s">
        <v>17</v>
      </c>
    </row>
    <row r="31" spans="1:31" x14ac:dyDescent="0.25">
      <c r="B31" s="4"/>
      <c r="C31" s="4"/>
      <c r="D31" s="4"/>
      <c r="E31" s="16"/>
      <c r="F31" s="4"/>
      <c r="G31" s="4"/>
      <c r="H31" s="4"/>
      <c r="I31" s="4"/>
      <c r="J31" s="4"/>
      <c r="K31" s="4"/>
      <c r="L31" s="4"/>
      <c r="M31" s="4"/>
      <c r="N31" s="4"/>
      <c r="O31" s="4"/>
      <c r="P31" s="4"/>
      <c r="Q31" s="18"/>
      <c r="R31" s="18"/>
      <c r="S31" s="4"/>
      <c r="T31" s="18"/>
      <c r="U31" s="18"/>
      <c r="V31" s="18"/>
      <c r="W31" s="18"/>
      <c r="X31" s="4"/>
      <c r="Y31" s="4"/>
      <c r="Z31" s="4"/>
      <c r="AA31" s="4"/>
      <c r="AB31" s="4"/>
      <c r="AC31" s="4"/>
      <c r="AD31" s="4"/>
      <c r="AE31" s="4"/>
    </row>
    <row r="32" spans="1:31" x14ac:dyDescent="0.25">
      <c r="R32" s="19"/>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sheetData>
  <sheetProtection algorithmName="SHA-512" hashValue="1yZ/ToYZWRiLm2HnR9FIAwyE1o4nN3yYE0GwEz8EZt1v5mdWrGmKLKtJUrRuRcPk7mAR+0D2zjm+6ZiSNdSycg==" saltValue="NNxi5PbkyNdgaMjmsntIgw==" spinCount="100000" sheet="1" objects="1" scenarios="1"/>
  <autoFilter ref="B1:S31" xr:uid="{EBA8883D-6FAF-434E-ADBB-1557C349E81B}"/>
  <mergeCells count="3">
    <mergeCell ref="Z1:AA1"/>
    <mergeCell ref="B29:D29"/>
    <mergeCell ref="B30:D30"/>
  </mergeCells>
  <hyperlinks>
    <hyperlink ref="AE5" r:id="rId1" xr:uid="{A5DF51E3-04C0-4B2F-8DF8-5026C4365CE7}"/>
    <hyperlink ref="AE4" r:id="rId2" xr:uid="{95463FB2-AF0C-4AF2-AECF-837DA0C7E499}"/>
    <hyperlink ref="AE2" r:id="rId3" xr:uid="{CFD7EE0F-1E08-4C77-A74E-9631E5A8EEDB}"/>
    <hyperlink ref="AE3" r:id="rId4" xr:uid="{5D9E56E1-598C-437D-B490-1F20462FE955}"/>
    <hyperlink ref="AE6" r:id="rId5" xr:uid="{354E27ED-CB8D-4BDB-BA3D-793C4FCFECAE}"/>
    <hyperlink ref="AE7" r:id="rId6" xr:uid="{962D9C43-6D6C-47CB-929F-55F06C4345AD}"/>
    <hyperlink ref="AE8" r:id="rId7" xr:uid="{7AA2C646-534D-4D73-93EF-B92196155455}"/>
    <hyperlink ref="AE9" r:id="rId8" xr:uid="{5D2B197C-FB94-4232-8052-0AEE639875E1}"/>
    <hyperlink ref="AE13" r:id="rId9" xr:uid="{DD394C99-448C-4C6F-91F0-CBB32088091A}"/>
    <hyperlink ref="AE15" r:id="rId10" xr:uid="{EC7B09E3-707D-4279-AF33-2E005755209F}"/>
    <hyperlink ref="AE16" r:id="rId11" xr:uid="{AA2EBADD-40B7-4DE5-AD24-EE1BF3E14C0F}"/>
    <hyperlink ref="AE18" r:id="rId12" xr:uid="{78A9EF67-D463-4ADB-A686-4DAD65484BA0}"/>
    <hyperlink ref="AE19" r:id="rId13" xr:uid="{EDD98439-4991-405C-AFD0-73B5A823126A}"/>
    <hyperlink ref="AE20" r:id="rId14" xr:uid="{1ED83B9C-60B2-437F-A323-1B9CF2227343}"/>
    <hyperlink ref="AE21" r:id="rId15" xr:uid="{EC2E07D7-438A-45C3-A37A-4D515B6F387B}"/>
    <hyperlink ref="AE22" r:id="rId16" xr:uid="{7C90E805-5E88-4CAC-95C8-45009CE3D35E}"/>
    <hyperlink ref="AE23" r:id="rId17" xr:uid="{0750C0C8-59C3-4354-8C61-656ED972E998}"/>
    <hyperlink ref="AE24" r:id="rId18" xr:uid="{96E4B9EC-1395-4779-9180-A0D1D56CA065}"/>
    <hyperlink ref="AE28" r:id="rId19" xr:uid="{6D8546C8-1287-469B-AB63-FCD0CC392552}"/>
    <hyperlink ref="AE10" r:id="rId20" xr:uid="{1A00AC8D-DE92-4610-B949-CB2F12F22C07}"/>
    <hyperlink ref="AE11" r:id="rId21" xr:uid="{110E0EEA-4D0D-4FA0-A376-808DD9D983FF}"/>
    <hyperlink ref="AE12" r:id="rId22" xr:uid="{30D8F49A-0D09-4CA6-9F04-CE2D012D3928}"/>
    <hyperlink ref="AE14" r:id="rId23" xr:uid="{E6EA5621-CE04-42D3-86E7-4C00B41DBFA9}"/>
    <hyperlink ref="AE17" r:id="rId24" xr:uid="{2AA6EFBC-E8C4-49ED-B934-87D4907FE34F}"/>
    <hyperlink ref="AE25" r:id="rId25" xr:uid="{3E8329C0-32E9-47A8-B6A2-32204DE17C41}"/>
    <hyperlink ref="AE26" r:id="rId26" xr:uid="{FC674FF8-408C-433B-AB53-AF19D8F4E1CD}"/>
    <hyperlink ref="AE27" r:id="rId27" xr:uid="{EEB11941-AC96-4758-8ED9-FCDBA476E8BB}"/>
  </hyperlinks>
  <pageMargins left="0.511811024" right="0.511811024" top="0.78740157499999996" bottom="0.78740157499999996" header="0.31496062000000002" footer="0.31496062000000002"/>
  <pageSetup paperSize="9" orientation="portrait" r:id="rId28"/>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05E6-FAB8-4668-91D2-CE80B38624EE}">
  <dimension ref="B2:C23"/>
  <sheetViews>
    <sheetView showGridLines="0" topLeftCell="A15" workbookViewId="0">
      <selection activeCell="B3" sqref="B3:C23"/>
    </sheetView>
  </sheetViews>
  <sheetFormatPr defaultRowHeight="15" x14ac:dyDescent="0.25"/>
  <cols>
    <col min="2" max="2" width="13.140625" customWidth="1"/>
    <col min="3" max="3" width="58.85546875" customWidth="1"/>
  </cols>
  <sheetData>
    <row r="2" spans="2:3" ht="50.1" customHeight="1" x14ac:dyDescent="0.25">
      <c r="B2" s="43" t="s">
        <v>229</v>
      </c>
      <c r="C2" s="43" t="s">
        <v>230</v>
      </c>
    </row>
    <row r="3" spans="2:3" ht="50.1" customHeight="1" x14ac:dyDescent="0.25">
      <c r="B3" s="44" t="s">
        <v>181</v>
      </c>
      <c r="C3" s="45" t="s">
        <v>231</v>
      </c>
    </row>
    <row r="4" spans="2:3" ht="50.1" customHeight="1" x14ac:dyDescent="0.25">
      <c r="B4" s="44" t="s">
        <v>56</v>
      </c>
      <c r="C4" s="45" t="s">
        <v>232</v>
      </c>
    </row>
    <row r="5" spans="2:3" ht="50.1" customHeight="1" x14ac:dyDescent="0.25">
      <c r="B5" s="44" t="s">
        <v>233</v>
      </c>
      <c r="C5" s="45" t="s">
        <v>234</v>
      </c>
    </row>
    <row r="6" spans="2:3" ht="50.1" customHeight="1" x14ac:dyDescent="0.25">
      <c r="B6" s="44" t="s">
        <v>235</v>
      </c>
      <c r="C6" s="45" t="s">
        <v>236</v>
      </c>
    </row>
    <row r="7" spans="2:3" ht="50.1" customHeight="1" x14ac:dyDescent="0.25">
      <c r="B7" s="44" t="s">
        <v>237</v>
      </c>
      <c r="C7" s="45" t="s">
        <v>238</v>
      </c>
    </row>
    <row r="8" spans="2:3" ht="50.1" customHeight="1" x14ac:dyDescent="0.25">
      <c r="B8" s="44" t="s">
        <v>239</v>
      </c>
      <c r="C8" s="45" t="s">
        <v>240</v>
      </c>
    </row>
    <row r="9" spans="2:3" ht="50.1" customHeight="1" x14ac:dyDescent="0.25">
      <c r="B9" s="44" t="s">
        <v>241</v>
      </c>
      <c r="C9" s="45" t="s">
        <v>242</v>
      </c>
    </row>
    <row r="10" spans="2:3" ht="50.1" customHeight="1" x14ac:dyDescent="0.25">
      <c r="B10" s="44" t="s">
        <v>243</v>
      </c>
      <c r="C10" s="45" t="s">
        <v>244</v>
      </c>
    </row>
    <row r="11" spans="2:3" ht="50.1" customHeight="1" x14ac:dyDescent="0.25">
      <c r="B11" s="44" t="s">
        <v>245</v>
      </c>
      <c r="C11" s="45" t="s">
        <v>246</v>
      </c>
    </row>
    <row r="12" spans="2:3" ht="50.1" customHeight="1" x14ac:dyDescent="0.25">
      <c r="B12" s="44" t="s">
        <v>247</v>
      </c>
      <c r="C12" s="45" t="s">
        <v>248</v>
      </c>
    </row>
    <row r="13" spans="2:3" ht="50.1" customHeight="1" x14ac:dyDescent="0.25">
      <c r="B13" s="44" t="s">
        <v>249</v>
      </c>
      <c r="C13" s="45" t="s">
        <v>250</v>
      </c>
    </row>
    <row r="14" spans="2:3" ht="50.1" customHeight="1" x14ac:dyDescent="0.25">
      <c r="B14" s="44" t="s">
        <v>251</v>
      </c>
      <c r="C14" s="45" t="s">
        <v>252</v>
      </c>
    </row>
    <row r="15" spans="2:3" ht="50.1" customHeight="1" x14ac:dyDescent="0.25">
      <c r="B15" s="44" t="s">
        <v>253</v>
      </c>
      <c r="C15" s="45" t="s">
        <v>254</v>
      </c>
    </row>
    <row r="16" spans="2:3" ht="50.1" customHeight="1" x14ac:dyDescent="0.25">
      <c r="B16" s="44" t="s">
        <v>255</v>
      </c>
      <c r="C16" s="45" t="s">
        <v>256</v>
      </c>
    </row>
    <row r="17" spans="2:3" ht="50.1" customHeight="1" x14ac:dyDescent="0.25">
      <c r="B17" s="44" t="s">
        <v>257</v>
      </c>
      <c r="C17" s="45" t="s">
        <v>258</v>
      </c>
    </row>
    <row r="18" spans="2:3" ht="50.1" customHeight="1" x14ac:dyDescent="0.25">
      <c r="B18" s="44" t="s">
        <v>259</v>
      </c>
      <c r="C18" s="45" t="s">
        <v>260</v>
      </c>
    </row>
    <row r="19" spans="2:3" ht="50.1" customHeight="1" x14ac:dyDescent="0.25">
      <c r="B19" s="44" t="s">
        <v>261</v>
      </c>
      <c r="C19" s="45" t="s">
        <v>262</v>
      </c>
    </row>
    <row r="20" spans="2:3" ht="50.1" customHeight="1" x14ac:dyDescent="0.25">
      <c r="B20" s="44" t="s">
        <v>263</v>
      </c>
      <c r="C20" s="45" t="s">
        <v>264</v>
      </c>
    </row>
    <row r="21" spans="2:3" ht="50.1" customHeight="1" x14ac:dyDescent="0.25">
      <c r="B21" s="44" t="s">
        <v>265</v>
      </c>
      <c r="C21" s="45" t="s">
        <v>266</v>
      </c>
    </row>
    <row r="22" spans="2:3" ht="50.1" customHeight="1" x14ac:dyDescent="0.25">
      <c r="B22" s="44" t="s">
        <v>267</v>
      </c>
      <c r="C22" s="45" t="s">
        <v>268</v>
      </c>
    </row>
    <row r="23" spans="2:3" ht="50.1" customHeight="1" x14ac:dyDescent="0.25">
      <c r="B23" s="44" t="s">
        <v>269</v>
      </c>
      <c r="C23" s="45" t="s">
        <v>270</v>
      </c>
    </row>
  </sheetData>
  <hyperlinks>
    <hyperlink ref="B3" r:id="rId1" display="https://concla.ibge.gov.br/busca-online-cnae.html?view=secao&amp;tipo=cnae&amp;versaosubclasse=10&amp;versaoclasse=7&amp;secao=A" xr:uid="{8A32991C-BF43-4EFA-9A9E-D1C0AE7739C0}"/>
    <hyperlink ref="B4" r:id="rId2" display="https://concla.ibge.gov.br/busca-online-cnae.html?view=secao&amp;tipo=cnae&amp;versaosubclasse=10&amp;versaoclasse=7&amp;secao=B" xr:uid="{35A7D1F3-4C94-42F8-BD8D-29B37D190E2F}"/>
    <hyperlink ref="B5" r:id="rId3" display="https://concla.ibge.gov.br/busca-online-cnae.html?view=secao&amp;tipo=cnae&amp;versaosubclasse=10&amp;versaoclasse=7&amp;secao=C" xr:uid="{6A4FCA4C-FED0-48D2-A177-5CB7BA130587}"/>
    <hyperlink ref="B6" r:id="rId4" display="https://concla.ibge.gov.br/busca-online-cnae.html?view=secao&amp;tipo=cnae&amp;versaosubclasse=10&amp;versaoclasse=7&amp;secao=D" xr:uid="{B2D10583-0F70-4E0B-846C-67594CA20E51}"/>
    <hyperlink ref="B7" r:id="rId5" display="https://concla.ibge.gov.br/busca-online-cnae.html?view=secao&amp;tipo=cnae&amp;versaosubclasse=10&amp;versaoclasse=7&amp;secao=E" xr:uid="{2B0097D6-66C6-4AEF-92F7-B50FB7E0AC78}"/>
    <hyperlink ref="B8" r:id="rId6" display="https://concla.ibge.gov.br/busca-online-cnae.html?view=secao&amp;tipo=cnae&amp;versaosubclasse=10&amp;versaoclasse=7&amp;secao=F" xr:uid="{77C9F4F6-2FEE-4335-9D8F-466048D29222}"/>
    <hyperlink ref="B9" r:id="rId7" display="https://concla.ibge.gov.br/busca-online-cnae.html?view=secao&amp;tipo=cnae&amp;versaosubclasse=10&amp;versaoclasse=7&amp;secao=G" xr:uid="{E981BCF1-5C84-4A3B-B882-98B43AFC4E11}"/>
    <hyperlink ref="B10" r:id="rId8" display="https://concla.ibge.gov.br/busca-online-cnae.html?view=secao&amp;tipo=cnae&amp;versaosubclasse=10&amp;versaoclasse=7&amp;secao=H" xr:uid="{69538DFD-5AFB-4AB1-A1D0-6FF6D77960ED}"/>
    <hyperlink ref="B11" r:id="rId9" display="https://concla.ibge.gov.br/busca-online-cnae.html?view=secao&amp;tipo=cnae&amp;versaosubclasse=10&amp;versaoclasse=7&amp;secao=I" xr:uid="{8B58CBB7-C0CE-44F4-9D30-D21F416B0DBE}"/>
    <hyperlink ref="B12" r:id="rId10" display="https://concla.ibge.gov.br/busca-online-cnae.html?view=secao&amp;tipo=cnae&amp;versaosubclasse=10&amp;versaoclasse=7&amp;secao=J" xr:uid="{699A9368-5B80-4576-BF7D-7EE4139ED067}"/>
    <hyperlink ref="B13" r:id="rId11" display="https://concla.ibge.gov.br/busca-online-cnae.html?view=secao&amp;tipo=cnae&amp;versaosubclasse=10&amp;versaoclasse=7&amp;secao=K" xr:uid="{38D11C3F-ADD5-4638-A53D-BB6D0BA94F38}"/>
    <hyperlink ref="B14" r:id="rId12" display="https://concla.ibge.gov.br/busca-online-cnae.html?view=secao&amp;tipo=cnae&amp;versaosubclasse=10&amp;versaoclasse=7&amp;secao=L" xr:uid="{47D5B923-8474-4EF1-A8D1-5A014879D396}"/>
    <hyperlink ref="B15" r:id="rId13" display="https://concla.ibge.gov.br/busca-online-cnae.html?view=secao&amp;tipo=cnae&amp;versaosubclasse=10&amp;versaoclasse=7&amp;secao=M" xr:uid="{D56B61EC-AC43-4AA8-A46F-437F8805B7AB}"/>
    <hyperlink ref="B16" r:id="rId14" display="https://concla.ibge.gov.br/busca-online-cnae.html?view=secao&amp;tipo=cnae&amp;versaosubclasse=10&amp;versaoclasse=7&amp;secao=N" xr:uid="{2FBDFBEC-F26D-4B64-836D-9E6E3F864886}"/>
    <hyperlink ref="B17" r:id="rId15" display="https://concla.ibge.gov.br/busca-online-cnae.html?view=secao&amp;tipo=cnae&amp;versaosubclasse=10&amp;versaoclasse=7&amp;secao=O" xr:uid="{BD0E91D4-2136-47B6-B9D7-C21C134C0384}"/>
    <hyperlink ref="B18" r:id="rId16" display="https://concla.ibge.gov.br/busca-online-cnae.html?view=secao&amp;tipo=cnae&amp;versaosubclasse=10&amp;versaoclasse=7&amp;secao=P" xr:uid="{111AF893-2E86-4439-BE29-8DC59AF2BF50}"/>
    <hyperlink ref="B19" r:id="rId17" display="https://concla.ibge.gov.br/busca-online-cnae.html?view=secao&amp;tipo=cnae&amp;versaosubclasse=10&amp;versaoclasse=7&amp;secao=Q" xr:uid="{7B50BF91-303D-4CF8-8DAF-C0514CA01837}"/>
    <hyperlink ref="B20" r:id="rId18" display="https://concla.ibge.gov.br/busca-online-cnae.html?view=secao&amp;tipo=cnae&amp;versaosubclasse=10&amp;versaoclasse=7&amp;secao=R" xr:uid="{4B4B3EBC-5C08-498D-AFAF-B6372FE7C21D}"/>
    <hyperlink ref="B21" r:id="rId19" display="https://concla.ibge.gov.br/busca-online-cnae.html?view=secao&amp;tipo=cnae&amp;versaosubclasse=10&amp;versaoclasse=7&amp;secao=S" xr:uid="{675A142C-3824-4FEC-895F-5A2A9C6AB90C}"/>
    <hyperlink ref="B22" r:id="rId20" display="https://concla.ibge.gov.br/busca-online-cnae.html?view=secao&amp;tipo=cnae&amp;versaosubclasse=10&amp;versaoclasse=7&amp;secao=T" xr:uid="{C023271A-7BB9-4180-9697-9A440A6F2D6D}"/>
    <hyperlink ref="B23" r:id="rId21" display="https://concla.ibge.gov.br/busca-online-cnae.html?view=secao&amp;tipo=cnae&amp;versaosubclasse=10&amp;versaoclasse=7&amp;secao=U" xr:uid="{F7B7839F-8183-46FD-A5BA-A56CBEA027BC}"/>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A948-D5D6-4867-A915-478AF99722B7}">
  <dimension ref="A1:B37"/>
  <sheetViews>
    <sheetView zoomScale="70" zoomScaleNormal="70" workbookViewId="0">
      <selection activeCell="E14" sqref="E14"/>
    </sheetView>
  </sheetViews>
  <sheetFormatPr defaultRowHeight="15" x14ac:dyDescent="0.25"/>
  <cols>
    <col min="1" max="1" width="52.28515625" style="7" customWidth="1"/>
    <col min="2" max="2" width="2.5703125" style="7" customWidth="1"/>
    <col min="3" max="16384" width="9.140625" style="7"/>
  </cols>
  <sheetData>
    <row r="1" spans="1:2" ht="24" x14ac:dyDescent="0.25">
      <c r="A1" s="2" t="s">
        <v>197</v>
      </c>
    </row>
    <row r="2" spans="1:2" ht="20.100000000000001" customHeight="1" x14ac:dyDescent="0.25">
      <c r="A2" s="1" t="s">
        <v>52</v>
      </c>
      <c r="B2" s="7">
        <v>1</v>
      </c>
    </row>
    <row r="3" spans="1:2" ht="20.100000000000001" customHeight="1" x14ac:dyDescent="0.25">
      <c r="A3" s="1" t="s">
        <v>191</v>
      </c>
      <c r="B3" s="7">
        <v>7</v>
      </c>
    </row>
    <row r="4" spans="1:2" ht="20.100000000000001" customHeight="1" x14ac:dyDescent="0.25">
      <c r="A4" s="1" t="s">
        <v>192</v>
      </c>
      <c r="B4" s="7">
        <v>1</v>
      </c>
    </row>
    <row r="5" spans="1:2" ht="20.100000000000001" customHeight="1" x14ac:dyDescent="0.25">
      <c r="A5" s="1" t="s">
        <v>194</v>
      </c>
      <c r="B5" s="7">
        <v>2</v>
      </c>
    </row>
    <row r="6" spans="1:2" ht="20.100000000000001" customHeight="1" x14ac:dyDescent="0.25">
      <c r="A6" s="1" t="s">
        <v>188</v>
      </c>
      <c r="B6" s="7">
        <v>3</v>
      </c>
    </row>
    <row r="7" spans="1:2" ht="20.100000000000001" customHeight="1" x14ac:dyDescent="0.25">
      <c r="A7" s="1" t="s">
        <v>188</v>
      </c>
    </row>
    <row r="8" spans="1:2" ht="20.100000000000001" customHeight="1" x14ac:dyDescent="0.25">
      <c r="A8" s="1" t="s">
        <v>193</v>
      </c>
      <c r="B8" s="7">
        <v>1</v>
      </c>
    </row>
    <row r="9" spans="1:2" ht="20.100000000000001" customHeight="1" x14ac:dyDescent="0.25">
      <c r="A9" s="1" t="s">
        <v>189</v>
      </c>
      <c r="B9" s="7">
        <v>1</v>
      </c>
    </row>
    <row r="10" spans="1:2" ht="20.100000000000001" customHeight="1" x14ac:dyDescent="0.25">
      <c r="A10" s="1" t="s">
        <v>21</v>
      </c>
      <c r="B10" s="7">
        <v>7</v>
      </c>
    </row>
    <row r="11" spans="1:2" ht="20.100000000000001" customHeight="1" x14ac:dyDescent="0.25">
      <c r="A11" s="1" t="s">
        <v>187</v>
      </c>
      <c r="B11" s="7">
        <v>2</v>
      </c>
    </row>
    <row r="12" spans="1:2" ht="20.100000000000001" customHeight="1" x14ac:dyDescent="0.25">
      <c r="A12" s="1" t="s">
        <v>187</v>
      </c>
    </row>
    <row r="13" spans="1:2" ht="20.100000000000001" customHeight="1" x14ac:dyDescent="0.25">
      <c r="A13" s="1" t="s">
        <v>191</v>
      </c>
    </row>
    <row r="14" spans="1:2" ht="20.100000000000001" customHeight="1" x14ac:dyDescent="0.25">
      <c r="A14" s="1" t="s">
        <v>65</v>
      </c>
    </row>
    <row r="15" spans="1:2" ht="20.100000000000001" customHeight="1" x14ac:dyDescent="0.25">
      <c r="A15" s="1" t="s">
        <v>65</v>
      </c>
    </row>
    <row r="16" spans="1:2" ht="20.100000000000001" customHeight="1" x14ac:dyDescent="0.25">
      <c r="A16" s="1" t="s">
        <v>191</v>
      </c>
    </row>
    <row r="17" spans="1:1" ht="20.100000000000001" customHeight="1" x14ac:dyDescent="0.25">
      <c r="A17" s="1" t="s">
        <v>65</v>
      </c>
    </row>
    <row r="18" spans="1:1" ht="20.100000000000001" customHeight="1" x14ac:dyDescent="0.25">
      <c r="A18" s="1" t="s">
        <v>191</v>
      </c>
    </row>
    <row r="19" spans="1:1" ht="26.25" customHeight="1" x14ac:dyDescent="0.25">
      <c r="A19" s="1" t="s">
        <v>195</v>
      </c>
    </row>
    <row r="20" spans="1:1" ht="20.100000000000001" customHeight="1" x14ac:dyDescent="0.25">
      <c r="A20" s="1" t="s">
        <v>21</v>
      </c>
    </row>
    <row r="21" spans="1:1" ht="20.100000000000001" customHeight="1" x14ac:dyDescent="0.25">
      <c r="A21" s="1" t="s">
        <v>21</v>
      </c>
    </row>
    <row r="22" spans="1:1" ht="20.100000000000001" customHeight="1" x14ac:dyDescent="0.25">
      <c r="A22" s="1" t="s">
        <v>21</v>
      </c>
    </row>
    <row r="23" spans="1:1" ht="20.100000000000001" customHeight="1" x14ac:dyDescent="0.25">
      <c r="A23" s="1" t="s">
        <v>65</v>
      </c>
    </row>
    <row r="24" spans="1:1" ht="20.100000000000001" customHeight="1" x14ac:dyDescent="0.25">
      <c r="A24" s="1" t="s">
        <v>21</v>
      </c>
    </row>
    <row r="25" spans="1:1" ht="20.100000000000001" customHeight="1" x14ac:dyDescent="0.25">
      <c r="A25" s="1" t="s">
        <v>21</v>
      </c>
    </row>
    <row r="26" spans="1:1" ht="20.100000000000001" customHeight="1" x14ac:dyDescent="0.25">
      <c r="A26" s="1" t="s">
        <v>191</v>
      </c>
    </row>
    <row r="27" spans="1:1" ht="20.100000000000001" customHeight="1" x14ac:dyDescent="0.25">
      <c r="A27" s="1" t="s">
        <v>21</v>
      </c>
    </row>
    <row r="28" spans="1:1" ht="20.100000000000001" customHeight="1" x14ac:dyDescent="0.25">
      <c r="A28" s="1" t="s">
        <v>65</v>
      </c>
    </row>
    <row r="29" spans="1:1" ht="20.100000000000001" customHeight="1" x14ac:dyDescent="0.25">
      <c r="A29" s="1" t="s">
        <v>194</v>
      </c>
    </row>
    <row r="30" spans="1:1" ht="20.100000000000001" customHeight="1" x14ac:dyDescent="0.25">
      <c r="A30" s="1" t="s">
        <v>65</v>
      </c>
    </row>
    <row r="31" spans="1:1" ht="20.100000000000001" customHeight="1" x14ac:dyDescent="0.25">
      <c r="A31" s="1" t="s">
        <v>65</v>
      </c>
    </row>
    <row r="32" spans="1:1" ht="20.100000000000001" customHeight="1" x14ac:dyDescent="0.25">
      <c r="A32" s="1" t="s">
        <v>188</v>
      </c>
    </row>
    <row r="33" spans="1:1" ht="20.100000000000001" customHeight="1" x14ac:dyDescent="0.25">
      <c r="A33" s="1" t="s">
        <v>191</v>
      </c>
    </row>
    <row r="34" spans="1:1" ht="20.100000000000001" customHeight="1" x14ac:dyDescent="0.25">
      <c r="A34" s="1" t="s">
        <v>191</v>
      </c>
    </row>
    <row r="35" spans="1:1" ht="20.100000000000001" customHeight="1" x14ac:dyDescent="0.25">
      <c r="A35" s="1" t="s">
        <v>191</v>
      </c>
    </row>
    <row r="36" spans="1:1" ht="20.100000000000001" customHeight="1" x14ac:dyDescent="0.25">
      <c r="A36" s="1" t="s">
        <v>196</v>
      </c>
    </row>
    <row r="37" spans="1:1" x14ac:dyDescent="0.25">
      <c r="A37" s="4"/>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Sumário</vt:lpstr>
      <vt:lpstr>Transações Tributárias</vt:lpstr>
      <vt:lpstr>CNAEs</vt:lpstr>
      <vt:lpstr>Garantias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BVZ Advogados NB1</dc:creator>
  <cp:lastModifiedBy>Frederico Bastos | BVZ Advogados</cp:lastModifiedBy>
  <dcterms:created xsi:type="dcterms:W3CDTF">2020-04-02T19:58:36Z</dcterms:created>
  <dcterms:modified xsi:type="dcterms:W3CDTF">2021-03-01T14:16:34Z</dcterms:modified>
</cp:coreProperties>
</file>